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oogledrive\24. KITS LICITATÓRIOS - NOVAS OBRA - FNDE\DOM PEDRO - 31905_CENTRODOPRIMO_ESCOLA6SALAS_RELICITAÇÃO\DOCUMENTOS\"/>
    </mc:Choice>
  </mc:AlternateContent>
  <bookViews>
    <workbookView xWindow="-120" yWindow="-120" windowWidth="20730" windowHeight="11160" tabRatio="783"/>
  </bookViews>
  <sheets>
    <sheet name="I - RESUMO" sheetId="57" r:id="rId1"/>
    <sheet name="II - ORÇAMENTO" sheetId="32" r:id="rId2"/>
    <sheet name="III - CRONOGRAMA" sheetId="56" r:id="rId3"/>
    <sheet name="IV - COMPOSIÇÃO BDI" sheetId="58" r:id="rId4"/>
    <sheet name="V - ENCARGOS" sheetId="59" r:id="rId5"/>
  </sheets>
  <externalReferences>
    <externalReference r:id="rId6"/>
  </externalReferences>
  <definedNames>
    <definedName name="_Fill" hidden="1">#REF!</definedName>
    <definedName name="_xlnm._FilterDatabase" localSheetId="1" hidden="1">'II - ORÇAMENTO'!$A$9:$F$9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RE" hidden="1">#REF!</definedName>
    <definedName name="ademir" hidden="1">{#N/A,#N/A,FALSE,"Cronograma";#N/A,#N/A,FALSE,"Cronogr. 2"}</definedName>
    <definedName name="_xlnm.Print_Area" localSheetId="1">'II - ORÇAMENTO'!$A$1:$I$264</definedName>
    <definedName name="_xlnm.Print_Area" localSheetId="2">'III - CRONOGRAMA'!$A$1:$N$92</definedName>
    <definedName name="_xlnm.Print_Area" localSheetId="3">'IV - COMPOSIÇÃO BDI'!$A$1:$E$48</definedName>
    <definedName name="_xlnm.Print_Area" localSheetId="4">'V - ENCARGOS'!$A$1:$F$45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INAPI_AC" hidden="1">#REF!</definedName>
    <definedName name="ss" hidden="1">{#N/A,#N/A,FALSE,"Cronograma";#N/A,#N/A,FALSE,"Cronogr. 2"}</definedName>
    <definedName name="_xlnm.Print_Titles" localSheetId="1">'II - ORÇAMENTO'!$1:$9</definedName>
    <definedName name="_xlnm.Print_Titles" localSheetId="2">'III - CRONOGRAMA'!$1:$9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62913"/>
</workbook>
</file>

<file path=xl/calcChain.xml><?xml version="1.0" encoding="utf-8"?>
<calcChain xmlns="http://schemas.openxmlformats.org/spreadsheetml/2006/main">
  <c r="F44" i="59" l="1"/>
  <c r="F45" i="59" s="1"/>
  <c r="E44" i="59"/>
  <c r="D44" i="59"/>
  <c r="D45" i="59" s="1"/>
  <c r="C44" i="59"/>
  <c r="F40" i="59"/>
  <c r="E40" i="59"/>
  <c r="E45" i="59" s="1"/>
  <c r="D40" i="59"/>
  <c r="C40" i="59"/>
  <c r="C45" i="59" s="1"/>
  <c r="F33" i="59"/>
  <c r="E33" i="59"/>
  <c r="D33" i="59"/>
  <c r="C33" i="59"/>
  <c r="F21" i="59"/>
  <c r="E21" i="59"/>
  <c r="D21" i="59"/>
  <c r="C21" i="59"/>
  <c r="A91" i="57"/>
  <c r="F205" i="32" l="1"/>
  <c r="F203" i="32" l="1"/>
  <c r="F202" i="32"/>
  <c r="F201" i="32"/>
  <c r="I244" i="32"/>
  <c r="I243" i="32"/>
  <c r="I255" i="32"/>
  <c r="I239" i="32"/>
  <c r="I185" i="32"/>
  <c r="I178" i="32"/>
  <c r="I169" i="32"/>
  <c r="I158" i="32"/>
  <c r="I149" i="32"/>
  <c r="I122" i="32"/>
  <c r="I254" i="32"/>
  <c r="I245" i="32"/>
  <c r="I247" i="32"/>
  <c r="I248" i="32"/>
  <c r="I249" i="32"/>
  <c r="I34" i="32"/>
  <c r="I35" i="32"/>
  <c r="I36" i="32"/>
  <c r="I37" i="32"/>
  <c r="I38" i="32"/>
  <c r="I39" i="32"/>
  <c r="I40" i="32"/>
  <c r="I42" i="32"/>
  <c r="I43" i="32"/>
  <c r="I44" i="32"/>
  <c r="I45" i="32"/>
  <c r="I47" i="32"/>
  <c r="I48" i="32"/>
  <c r="I49" i="32"/>
  <c r="I50" i="32"/>
  <c r="I51" i="32"/>
  <c r="I52" i="32"/>
  <c r="I53" i="32"/>
  <c r="I54" i="32"/>
  <c r="I55" i="32"/>
  <c r="I57" i="32"/>
  <c r="I58" i="32"/>
  <c r="I59" i="32"/>
  <c r="I60" i="32"/>
  <c r="I61" i="32"/>
  <c r="I62" i="32"/>
  <c r="H254" i="32"/>
  <c r="H244" i="32"/>
  <c r="H245" i="32"/>
  <c r="H246" i="32"/>
  <c r="H247" i="32"/>
  <c r="H248" i="32"/>
  <c r="H249" i="32"/>
  <c r="H243" i="32"/>
  <c r="H228" i="32"/>
  <c r="H229" i="32"/>
  <c r="H230" i="32"/>
  <c r="H231" i="32"/>
  <c r="H232" i="32"/>
  <c r="H233" i="32"/>
  <c r="H234" i="32"/>
  <c r="H235" i="32"/>
  <c r="H236" i="32"/>
  <c r="H237" i="32"/>
  <c r="H238" i="32"/>
  <c r="H227" i="32"/>
  <c r="H207" i="32"/>
  <c r="H208" i="32"/>
  <c r="H209" i="32"/>
  <c r="H211" i="32"/>
  <c r="H213" i="32"/>
  <c r="H214" i="32"/>
  <c r="H215" i="32"/>
  <c r="H216" i="32"/>
  <c r="H217" i="32"/>
  <c r="H218" i="32"/>
  <c r="H220" i="32"/>
  <c r="H221" i="32"/>
  <c r="H222" i="32"/>
  <c r="H202" i="32"/>
  <c r="H203" i="32"/>
  <c r="H204" i="32"/>
  <c r="H205" i="32"/>
  <c r="H201" i="32"/>
  <c r="I199" i="32"/>
  <c r="H199" i="32"/>
  <c r="H194" i="32"/>
  <c r="H190" i="32"/>
  <c r="H192" i="32"/>
  <c r="H193" i="32"/>
  <c r="H189" i="32"/>
  <c r="H184" i="32"/>
  <c r="H182" i="32"/>
  <c r="H175" i="32"/>
  <c r="H177" i="32"/>
  <c r="H173" i="32"/>
  <c r="H168" i="32"/>
  <c r="H154" i="32"/>
  <c r="H153" i="32"/>
  <c r="H140" i="32"/>
  <c r="H141" i="32"/>
  <c r="H142" i="32"/>
  <c r="H143" i="32"/>
  <c r="H145" i="32"/>
  <c r="H139" i="32"/>
  <c r="H132" i="32"/>
  <c r="H130" i="32"/>
  <c r="H78" i="32"/>
  <c r="H80" i="32"/>
  <c r="H81" i="32"/>
  <c r="H83" i="32"/>
  <c r="H85" i="32"/>
  <c r="H86" i="32"/>
  <c r="H87" i="32"/>
  <c r="H88" i="32"/>
  <c r="H89" i="32"/>
  <c r="H90" i="32"/>
  <c r="H92" i="32"/>
  <c r="H93" i="32"/>
  <c r="H94" i="32"/>
  <c r="H95" i="32"/>
  <c r="H96" i="32"/>
  <c r="H97" i="32"/>
  <c r="H99" i="32"/>
  <c r="H100" i="32"/>
  <c r="H101" i="32"/>
  <c r="H102" i="32"/>
  <c r="H104" i="32"/>
  <c r="H105" i="32"/>
  <c r="H106" i="32"/>
  <c r="H107" i="32"/>
  <c r="H108" i="32"/>
  <c r="H110" i="32"/>
  <c r="H112" i="32"/>
  <c r="H114" i="32"/>
  <c r="H116" i="32"/>
  <c r="H117" i="32"/>
  <c r="H119" i="32"/>
  <c r="H120" i="32"/>
  <c r="H121" i="32"/>
  <c r="H77" i="32"/>
  <c r="H34" i="32"/>
  <c r="H35" i="32"/>
  <c r="H37" i="32"/>
  <c r="H38" i="32"/>
  <c r="H39" i="32"/>
  <c r="H40" i="32"/>
  <c r="H42" i="32"/>
  <c r="H43" i="32"/>
  <c r="H44" i="32"/>
  <c r="H45" i="32"/>
  <c r="H47" i="32"/>
  <c r="H48" i="32"/>
  <c r="H49" i="32"/>
  <c r="H50" i="32"/>
  <c r="H51" i="32"/>
  <c r="H52" i="32"/>
  <c r="H53" i="32"/>
  <c r="H54" i="32"/>
  <c r="H55" i="32"/>
  <c r="H57" i="32"/>
  <c r="H58" i="32"/>
  <c r="H59" i="32"/>
  <c r="H60" i="32"/>
  <c r="H61" i="32"/>
  <c r="H62" i="32"/>
  <c r="H33" i="32"/>
  <c r="L8" i="32"/>
  <c r="I250" i="32" l="1"/>
  <c r="R46" i="56"/>
  <c r="R48" i="56"/>
  <c r="R50" i="56"/>
  <c r="R52" i="56"/>
  <c r="R60" i="56"/>
  <c r="R62" i="56"/>
  <c r="R64" i="56"/>
  <c r="R66" i="56"/>
  <c r="R68" i="56"/>
  <c r="R70" i="56"/>
  <c r="R72" i="56"/>
  <c r="R74" i="56"/>
  <c r="R76" i="56"/>
  <c r="R78" i="56"/>
  <c r="R80" i="56"/>
  <c r="R82" i="56"/>
  <c r="R84" i="56"/>
  <c r="R86" i="56"/>
  <c r="R88" i="56"/>
  <c r="P23" i="56"/>
  <c r="P21" i="56"/>
  <c r="P19" i="56"/>
  <c r="P25" i="56"/>
  <c r="P27" i="56"/>
  <c r="P29" i="56"/>
  <c r="P31" i="56"/>
  <c r="P33" i="56"/>
  <c r="P35" i="56"/>
  <c r="P37" i="56"/>
  <c r="P39" i="56"/>
  <c r="P41" i="56"/>
  <c r="P43" i="56"/>
  <c r="A5" i="57"/>
  <c r="A4" i="57"/>
  <c r="A3" i="57"/>
  <c r="A2" i="57"/>
  <c r="A4" i="59"/>
  <c r="A31" i="56" l="1"/>
  <c r="A35" i="56"/>
  <c r="B34" i="57"/>
  <c r="B43" i="56" s="1"/>
  <c r="A34" i="57"/>
  <c r="A43" i="56" s="1"/>
  <c r="B32" i="57"/>
  <c r="B41" i="56" s="1"/>
  <c r="A32" i="57"/>
  <c r="A41" i="56" s="1"/>
  <c r="B30" i="57"/>
  <c r="B39" i="56" s="1"/>
  <c r="A30" i="57"/>
  <c r="A39" i="56" s="1"/>
  <c r="B28" i="57"/>
  <c r="B37" i="56" s="1"/>
  <c r="A28" i="57"/>
  <c r="A37" i="56" s="1"/>
  <c r="B26" i="57"/>
  <c r="B35" i="56" s="1"/>
  <c r="A26" i="57"/>
  <c r="B24" i="57"/>
  <c r="B33" i="56" s="1"/>
  <c r="A24" i="57"/>
  <c r="A33" i="56" s="1"/>
  <c r="B22" i="57"/>
  <c r="B31" i="56" s="1"/>
  <c r="A22" i="57"/>
  <c r="B20" i="57"/>
  <c r="B29" i="56" s="1"/>
  <c r="A20" i="57"/>
  <c r="A29" i="56" s="1"/>
  <c r="B18" i="57"/>
  <c r="B27" i="56" s="1"/>
  <c r="A18" i="57"/>
  <c r="A27" i="56" s="1"/>
  <c r="B16" i="57"/>
  <c r="B25" i="56" s="1"/>
  <c r="A16" i="57"/>
  <c r="A25" i="56" s="1"/>
  <c r="B14" i="57"/>
  <c r="B23" i="56" s="1"/>
  <c r="A14" i="57"/>
  <c r="A23" i="56" s="1"/>
  <c r="B12" i="57"/>
  <c r="B21" i="56" s="1"/>
  <c r="A12" i="57"/>
  <c r="A21" i="56" s="1"/>
  <c r="B10" i="57"/>
  <c r="B19" i="56" s="1"/>
  <c r="A10" i="57"/>
  <c r="A19" i="56" s="1"/>
  <c r="F168" i="32"/>
  <c r="I168" i="32" s="1"/>
  <c r="F184" i="32"/>
  <c r="I184" i="32" s="1"/>
  <c r="F182" i="32"/>
  <c r="I182" i="32" s="1"/>
  <c r="F194" i="32"/>
  <c r="I194" i="32" s="1"/>
  <c r="F193" i="32"/>
  <c r="I193" i="32" s="1"/>
  <c r="F192" i="32"/>
  <c r="I192" i="32" s="1"/>
  <c r="F190" i="32"/>
  <c r="F189" i="32"/>
  <c r="F145" i="32"/>
  <c r="F130" i="32"/>
  <c r="I130" i="32" s="1"/>
  <c r="I228" i="32"/>
  <c r="I229" i="32"/>
  <c r="I230" i="32"/>
  <c r="I231" i="32"/>
  <c r="I232" i="32"/>
  <c r="I233" i="32"/>
  <c r="I234" i="32"/>
  <c r="I235" i="32"/>
  <c r="I236" i="32"/>
  <c r="I237" i="32"/>
  <c r="I238" i="32"/>
  <c r="I227" i="32"/>
  <c r="I201" i="32"/>
  <c r="I202" i="32"/>
  <c r="I203" i="32"/>
  <c r="I204" i="32"/>
  <c r="I205" i="32"/>
  <c r="I207" i="32"/>
  <c r="I208" i="32"/>
  <c r="I209" i="32"/>
  <c r="I211" i="32"/>
  <c r="I213" i="32"/>
  <c r="I214" i="32"/>
  <c r="I215" i="32"/>
  <c r="I216" i="32"/>
  <c r="I217" i="32"/>
  <c r="I218" i="32"/>
  <c r="I220" i="32"/>
  <c r="I221" i="32"/>
  <c r="I222" i="32"/>
  <c r="I190" i="32"/>
  <c r="I189" i="32"/>
  <c r="I195" i="32" s="1"/>
  <c r="F173" i="32"/>
  <c r="I173" i="32" s="1"/>
  <c r="F175" i="32"/>
  <c r="I175" i="32" s="1"/>
  <c r="F177" i="32"/>
  <c r="I177" i="32"/>
  <c r="F153" i="32"/>
  <c r="I153" i="32" s="1"/>
  <c r="F154" i="32"/>
  <c r="I154" i="32" s="1"/>
  <c r="I145" i="32"/>
  <c r="I140" i="32"/>
  <c r="I141" i="32"/>
  <c r="I142" i="32"/>
  <c r="I143" i="32"/>
  <c r="I139" i="32"/>
  <c r="L140" i="32"/>
  <c r="L141" i="32"/>
  <c r="L142" i="32"/>
  <c r="L143" i="32"/>
  <c r="L139" i="32"/>
  <c r="I157" i="32"/>
  <c r="I155" i="32"/>
  <c r="G155" i="32"/>
  <c r="G157" i="32"/>
  <c r="I132" i="32"/>
  <c r="I77" i="32"/>
  <c r="I78" i="32"/>
  <c r="I80" i="32"/>
  <c r="I81" i="32"/>
  <c r="I83" i="32"/>
  <c r="I85" i="32"/>
  <c r="I86" i="32"/>
  <c r="I92" i="32"/>
  <c r="I93" i="32"/>
  <c r="I94" i="32"/>
  <c r="I95" i="32"/>
  <c r="I96" i="32"/>
  <c r="I97" i="32"/>
  <c r="I99" i="32"/>
  <c r="I100" i="32"/>
  <c r="I101" i="32"/>
  <c r="I102" i="32"/>
  <c r="I104" i="32"/>
  <c r="I105" i="32"/>
  <c r="I106" i="32"/>
  <c r="I107" i="32"/>
  <c r="I108" i="32"/>
  <c r="I110" i="32"/>
  <c r="I112" i="32"/>
  <c r="I114" i="32"/>
  <c r="I115" i="32"/>
  <c r="I116" i="32"/>
  <c r="I117" i="32"/>
  <c r="I119" i="32"/>
  <c r="I120" i="32"/>
  <c r="I121" i="32"/>
  <c r="I33" i="32"/>
  <c r="I63" i="32" s="1"/>
  <c r="B11" i="56"/>
  <c r="I223" i="32" l="1"/>
  <c r="I258" i="32" s="1"/>
  <c r="G26" i="57"/>
  <c r="C35" i="56" s="1"/>
  <c r="G18" i="57"/>
  <c r="C27" i="56" s="1"/>
  <c r="E28" i="56" s="1"/>
  <c r="I135" i="32"/>
  <c r="G14" i="57" s="1"/>
  <c r="C23" i="56" s="1"/>
  <c r="G12" i="57"/>
  <c r="C21" i="56" s="1"/>
  <c r="G10" i="57"/>
  <c r="G22" i="57"/>
  <c r="C31" i="56" s="1"/>
  <c r="A6" i="58"/>
  <c r="A5" i="58"/>
  <c r="A4" i="58"/>
  <c r="A3" i="58"/>
  <c r="A2" i="58"/>
  <c r="A5" i="56"/>
  <c r="A4" i="56"/>
  <c r="A3" i="56"/>
  <c r="A2" i="56"/>
  <c r="A1" i="56"/>
  <c r="C85" i="56"/>
  <c r="N86" i="56" s="1"/>
  <c r="C83" i="56"/>
  <c r="L84" i="56" s="1"/>
  <c r="C81" i="56"/>
  <c r="M82" i="56" s="1"/>
  <c r="C79" i="56"/>
  <c r="N80" i="56" s="1"/>
  <c r="C77" i="56"/>
  <c r="J78" i="56" s="1"/>
  <c r="C75" i="56"/>
  <c r="L76" i="56" s="1"/>
  <c r="C73" i="56"/>
  <c r="I74" i="56" s="1"/>
  <c r="C71" i="56"/>
  <c r="K72" i="56" s="1"/>
  <c r="C69" i="56"/>
  <c r="K70" i="56" s="1"/>
  <c r="C67" i="56"/>
  <c r="L68" i="56" s="1"/>
  <c r="C65" i="56"/>
  <c r="H66" i="56" s="1"/>
  <c r="C63" i="56"/>
  <c r="K64" i="56" s="1"/>
  <c r="C61" i="56"/>
  <c r="L62" i="56" s="1"/>
  <c r="C59" i="56"/>
  <c r="H60" i="56" s="1"/>
  <c r="C57" i="56"/>
  <c r="C55" i="56"/>
  <c r="B55" i="56"/>
  <c r="C53" i="56"/>
  <c r="C51" i="56"/>
  <c r="B13" i="56"/>
  <c r="B15" i="56"/>
  <c r="B17" i="56"/>
  <c r="B45" i="56"/>
  <c r="B47" i="56"/>
  <c r="B49" i="56"/>
  <c r="B51" i="56"/>
  <c r="B53" i="56"/>
  <c r="B57" i="56"/>
  <c r="B59" i="56"/>
  <c r="B61" i="56"/>
  <c r="B63" i="56"/>
  <c r="B65" i="56"/>
  <c r="B67" i="56"/>
  <c r="B69" i="56"/>
  <c r="B71" i="56"/>
  <c r="B73" i="56"/>
  <c r="B75" i="56"/>
  <c r="B77" i="56"/>
  <c r="B79" i="56"/>
  <c r="B81" i="56"/>
  <c r="B83" i="56"/>
  <c r="B85" i="56"/>
  <c r="B87" i="56"/>
  <c r="A261" i="32"/>
  <c r="E36" i="56" l="1"/>
  <c r="F36" i="56"/>
  <c r="G36" i="56"/>
  <c r="G32" i="56"/>
  <c r="E32" i="56"/>
  <c r="F32" i="56"/>
  <c r="E24" i="56"/>
  <c r="G24" i="56"/>
  <c r="F24" i="56"/>
  <c r="G22" i="56"/>
  <c r="E22" i="56"/>
  <c r="F22" i="56"/>
  <c r="F28" i="56"/>
  <c r="G28" i="56"/>
  <c r="G16" i="57"/>
  <c r="C25" i="56" s="1"/>
  <c r="C19" i="56"/>
  <c r="M72" i="56"/>
  <c r="K80" i="56"/>
  <c r="L72" i="56"/>
  <c r="J80" i="56"/>
  <c r="J82" i="56"/>
  <c r="M68" i="56"/>
  <c r="K68" i="56"/>
  <c r="H70" i="56"/>
  <c r="N74" i="56"/>
  <c r="J84" i="56"/>
  <c r="J62" i="56"/>
  <c r="N70" i="56"/>
  <c r="M74" i="56"/>
  <c r="N84" i="56"/>
  <c r="N72" i="56"/>
  <c r="M70" i="56"/>
  <c r="M84" i="56"/>
  <c r="I68" i="56"/>
  <c r="J70" i="56"/>
  <c r="J74" i="56"/>
  <c r="K84" i="56"/>
  <c r="J68" i="56"/>
  <c r="K74" i="56"/>
  <c r="N68" i="56"/>
  <c r="M78" i="56"/>
  <c r="J86" i="56"/>
  <c r="M62" i="56"/>
  <c r="K78" i="56"/>
  <c r="I60" i="56"/>
  <c r="J64" i="56"/>
  <c r="K76" i="56"/>
  <c r="M80" i="56"/>
  <c r="L82" i="56"/>
  <c r="J60" i="56"/>
  <c r="I64" i="56"/>
  <c r="I70" i="56"/>
  <c r="L74" i="56"/>
  <c r="I78" i="56"/>
  <c r="L80" i="56"/>
  <c r="K82" i="56"/>
  <c r="K62" i="56"/>
  <c r="H64" i="56"/>
  <c r="L70" i="56"/>
  <c r="M76" i="56"/>
  <c r="H80" i="56"/>
  <c r="N82" i="56"/>
  <c r="L78" i="56"/>
  <c r="J76" i="56"/>
  <c r="I80" i="56"/>
  <c r="N76" i="56"/>
  <c r="I82" i="56"/>
  <c r="B68" i="57"/>
  <c r="G76" i="57"/>
  <c r="B76" i="57"/>
  <c r="G74" i="57"/>
  <c r="B74" i="57"/>
  <c r="G72" i="57"/>
  <c r="B72" i="57"/>
  <c r="G70" i="57"/>
  <c r="B70" i="57"/>
  <c r="B86" i="57"/>
  <c r="G84" i="57"/>
  <c r="B84" i="57"/>
  <c r="G82" i="57"/>
  <c r="B82" i="57"/>
  <c r="G80" i="57"/>
  <c r="B80" i="57"/>
  <c r="G78" i="57"/>
  <c r="B78" i="57"/>
  <c r="C47" i="56"/>
  <c r="C45" i="56"/>
  <c r="G32" i="57"/>
  <c r="C41" i="56" s="1"/>
  <c r="G30" i="57"/>
  <c r="C39" i="56" s="1"/>
  <c r="G24" i="57"/>
  <c r="C33" i="56" s="1"/>
  <c r="G20" i="57"/>
  <c r="C29" i="56" s="1"/>
  <c r="C17" i="56"/>
  <c r="C15" i="56"/>
  <c r="C13" i="56"/>
  <c r="C11" i="56"/>
  <c r="R36" i="56" l="1"/>
  <c r="E42" i="56"/>
  <c r="G42" i="56"/>
  <c r="F42" i="56"/>
  <c r="E40" i="56"/>
  <c r="G40" i="56"/>
  <c r="F40" i="56"/>
  <c r="G34" i="56"/>
  <c r="F34" i="56"/>
  <c r="E34" i="56"/>
  <c r="R32" i="56"/>
  <c r="F30" i="56"/>
  <c r="E30" i="56"/>
  <c r="G30" i="56"/>
  <c r="R28" i="56"/>
  <c r="E26" i="56"/>
  <c r="F26" i="56"/>
  <c r="G26" i="56"/>
  <c r="R24" i="56"/>
  <c r="R22" i="56"/>
  <c r="F20" i="56"/>
  <c r="E20" i="56"/>
  <c r="G34" i="57"/>
  <c r="C43" i="56" s="1"/>
  <c r="C49" i="56"/>
  <c r="C87" i="56"/>
  <c r="A6" i="59"/>
  <c r="A5" i="59"/>
  <c r="A3" i="59"/>
  <c r="A2" i="59"/>
  <c r="A6" i="57"/>
  <c r="D42" i="58"/>
  <c r="D32" i="58"/>
  <c r="D43" i="58" s="1"/>
  <c r="D29" i="58"/>
  <c r="D44" i="58" s="1"/>
  <c r="D24" i="58"/>
  <c r="D21" i="58"/>
  <c r="D40" i="58" s="1"/>
  <c r="D18" i="58"/>
  <c r="D41" i="58" s="1"/>
  <c r="D15" i="58"/>
  <c r="D39" i="58" s="1"/>
  <c r="D12" i="58"/>
  <c r="D38" i="58" s="1"/>
  <c r="R42" i="56" l="1"/>
  <c r="G44" i="56"/>
  <c r="F44" i="56"/>
  <c r="E44" i="56"/>
  <c r="R40" i="56"/>
  <c r="R34" i="56"/>
  <c r="R30" i="56"/>
  <c r="R26" i="56"/>
  <c r="H44" i="56"/>
  <c r="I44" i="56"/>
  <c r="J44" i="56"/>
  <c r="K44" i="56"/>
  <c r="L44" i="56"/>
  <c r="M44" i="56"/>
  <c r="L88" i="56"/>
  <c r="M88" i="56"/>
  <c r="N88" i="56"/>
  <c r="K88" i="56"/>
  <c r="G86" i="57"/>
  <c r="G40" i="58"/>
  <c r="E33" i="58" s="1"/>
  <c r="R44" i="56" l="1"/>
  <c r="B66" i="57"/>
  <c r="B64" i="57"/>
  <c r="B62" i="57"/>
  <c r="B60" i="57"/>
  <c r="B58" i="57"/>
  <c r="B56" i="57"/>
  <c r="B54" i="57"/>
  <c r="B52" i="57"/>
  <c r="B50" i="57"/>
  <c r="B48" i="57"/>
  <c r="B46" i="57"/>
  <c r="B44" i="57"/>
  <c r="B42" i="57"/>
  <c r="B40" i="57"/>
  <c r="B38" i="57"/>
  <c r="B36" i="57"/>
  <c r="G18" i="56" l="1"/>
  <c r="F18" i="56"/>
  <c r="H18" i="56"/>
  <c r="G64" i="57" l="1"/>
  <c r="G60" i="57"/>
  <c r="G48" i="57"/>
  <c r="G68" i="57"/>
  <c r="G66" i="57"/>
  <c r="G58" i="57"/>
  <c r="G56" i="57"/>
  <c r="G54" i="57"/>
  <c r="G52" i="57"/>
  <c r="G50" i="57"/>
  <c r="G62" i="57" l="1"/>
  <c r="H58" i="56"/>
  <c r="I58" i="56"/>
  <c r="G58" i="56"/>
  <c r="R58" i="56" s="1"/>
  <c r="K54" i="56"/>
  <c r="M54" i="56"/>
  <c r="L54" i="56"/>
  <c r="F54" i="56"/>
  <c r="R54" i="56" s="1"/>
  <c r="N54" i="56"/>
  <c r="G54" i="56"/>
  <c r="N52" i="56"/>
  <c r="L56" i="56"/>
  <c r="F56" i="56"/>
  <c r="E56" i="56"/>
  <c r="R56" i="56" s="1"/>
  <c r="N56" i="56"/>
  <c r="M56" i="56"/>
  <c r="E12" i="56"/>
  <c r="N50" i="56"/>
  <c r="M50" i="56"/>
  <c r="K50" i="56"/>
  <c r="L50" i="56"/>
  <c r="G46" i="57"/>
  <c r="G42" i="57"/>
  <c r="G38" i="57"/>
  <c r="G40" i="57"/>
  <c r="K30" i="56" l="1"/>
  <c r="J30" i="56"/>
  <c r="H30" i="56"/>
  <c r="I30" i="56"/>
  <c r="L30" i="56"/>
  <c r="L40" i="56"/>
  <c r="K40" i="56"/>
  <c r="M40" i="56"/>
  <c r="J40" i="56"/>
  <c r="I20" i="56"/>
  <c r="H20" i="56"/>
  <c r="G20" i="56"/>
  <c r="R20" i="56" s="1"/>
  <c r="K36" i="56"/>
  <c r="L36" i="56"/>
  <c r="I36" i="56"/>
  <c r="J36" i="56"/>
  <c r="M36" i="56"/>
  <c r="J34" i="56"/>
  <c r="I34" i="56"/>
  <c r="K34" i="56"/>
  <c r="L34" i="56"/>
  <c r="H34" i="56"/>
  <c r="L42" i="56"/>
  <c r="M42" i="56"/>
  <c r="I42" i="56"/>
  <c r="H42" i="56"/>
  <c r="I24" i="56"/>
  <c r="J24" i="56"/>
  <c r="H24" i="56"/>
  <c r="M32" i="56"/>
  <c r="L32" i="56"/>
  <c r="K32" i="56"/>
  <c r="N32" i="56"/>
  <c r="G16" i="56"/>
  <c r="F16" i="56"/>
  <c r="I48" i="56"/>
  <c r="M48" i="56"/>
  <c r="G36" i="57"/>
  <c r="G44" i="57"/>
  <c r="N46" i="56" l="1"/>
  <c r="K46" i="56"/>
  <c r="I46" i="56"/>
  <c r="M46" i="56"/>
  <c r="J46" i="56"/>
  <c r="L46" i="56"/>
  <c r="H46" i="56"/>
  <c r="F14" i="56"/>
  <c r="E14" i="56"/>
  <c r="K28" i="56"/>
  <c r="H28" i="56"/>
  <c r="I28" i="56"/>
  <c r="L28" i="56"/>
  <c r="M28" i="56"/>
  <c r="J28" i="56"/>
  <c r="K22" i="56" l="1"/>
  <c r="L22" i="56"/>
  <c r="H22" i="56"/>
  <c r="I22" i="56"/>
  <c r="J22" i="56"/>
  <c r="K258" i="32" l="1"/>
  <c r="G28" i="57"/>
  <c r="C37" i="56" l="1"/>
  <c r="G90" i="57"/>
  <c r="G89" i="57" s="1"/>
  <c r="C90" i="56" l="1"/>
  <c r="D37" i="56" s="1"/>
  <c r="E38" i="56"/>
  <c r="L38" i="56"/>
  <c r="G38" i="56"/>
  <c r="G90" i="56" s="1"/>
  <c r="F38" i="56"/>
  <c r="F90" i="56" s="1"/>
  <c r="H38" i="56"/>
  <c r="H90" i="56" s="1"/>
  <c r="I38" i="56"/>
  <c r="J38" i="56"/>
  <c r="K38" i="56"/>
  <c r="D79" i="56" l="1"/>
  <c r="D15" i="56"/>
  <c r="D57" i="56"/>
  <c r="D63" i="56"/>
  <c r="D59" i="56"/>
  <c r="I91" i="56"/>
  <c r="D35" i="56"/>
  <c r="D77" i="56"/>
  <c r="D65" i="56"/>
  <c r="L91" i="56"/>
  <c r="D17" i="56"/>
  <c r="D69" i="56"/>
  <c r="D47" i="56"/>
  <c r="K91" i="56"/>
  <c r="D61" i="56"/>
  <c r="D49" i="56"/>
  <c r="D55" i="56"/>
  <c r="D39" i="56"/>
  <c r="D85" i="56"/>
  <c r="D21" i="56"/>
  <c r="D87" i="56"/>
  <c r="J91" i="56"/>
  <c r="D83" i="56"/>
  <c r="D67" i="56"/>
  <c r="D31" i="56"/>
  <c r="D43" i="56"/>
  <c r="N91" i="56"/>
  <c r="D71" i="56"/>
  <c r="D45" i="56"/>
  <c r="D73" i="56"/>
  <c r="D25" i="56"/>
  <c r="D11" i="56"/>
  <c r="D19" i="56"/>
  <c r="D23" i="56"/>
  <c r="D41" i="56"/>
  <c r="D13" i="56"/>
  <c r="D51" i="56"/>
  <c r="D53" i="56"/>
  <c r="D81" i="56"/>
  <c r="D75" i="56"/>
  <c r="M91" i="56"/>
  <c r="D33" i="56"/>
  <c r="M34" i="56" s="1"/>
  <c r="D27" i="56"/>
  <c r="D29" i="56"/>
  <c r="R38" i="56"/>
  <c r="R90" i="56" s="1"/>
  <c r="E90" i="56"/>
  <c r="H91" i="56"/>
  <c r="F91" i="56"/>
  <c r="G91" i="56"/>
  <c r="D90" i="56" l="1"/>
  <c r="E91" i="56"/>
  <c r="E92" i="56"/>
  <c r="F92" i="56" s="1"/>
  <c r="G92" i="56" s="1"/>
  <c r="H92" i="56" s="1"/>
  <c r="I92" i="56" s="1"/>
  <c r="J92" i="56" s="1"/>
  <c r="K92" i="56" s="1"/>
  <c r="L92" i="56" s="1"/>
  <c r="M92" i="56" s="1"/>
  <c r="N92" i="56" s="1"/>
</calcChain>
</file>

<file path=xl/sharedStrings.xml><?xml version="1.0" encoding="utf-8"?>
<sst xmlns="http://schemas.openxmlformats.org/spreadsheetml/2006/main" count="1007" uniqueCount="668">
  <si>
    <t>ITEM</t>
  </si>
  <si>
    <t>m</t>
  </si>
  <si>
    <t>un</t>
  </si>
  <si>
    <t>ESQUADRIAS</t>
  </si>
  <si>
    <t>m²</t>
  </si>
  <si>
    <t>Limpeza geral</t>
  </si>
  <si>
    <t>1.1</t>
  </si>
  <si>
    <t>2.1</t>
  </si>
  <si>
    <t>3.1</t>
  </si>
  <si>
    <t>4.1</t>
  </si>
  <si>
    <t>5.1</t>
  </si>
  <si>
    <t>6.1</t>
  </si>
  <si>
    <t>6.2</t>
  </si>
  <si>
    <t>6.3</t>
  </si>
  <si>
    <t>7.1</t>
  </si>
  <si>
    <t>DESCRIÇÃO DOS SERVIÇOS</t>
  </si>
  <si>
    <t>VALOR (R$)</t>
  </si>
  <si>
    <t>m³</t>
  </si>
  <si>
    <t>Chapisco em  parede com argamassa traço - 1:3 (cimento / areia)</t>
  </si>
  <si>
    <t>% ITEM</t>
  </si>
  <si>
    <t>Valores totais</t>
  </si>
  <si>
    <t>VIDROS</t>
  </si>
  <si>
    <t>UNID</t>
  </si>
  <si>
    <t>QUANT</t>
  </si>
  <si>
    <t>Subtotal</t>
  </si>
  <si>
    <t>10.1.1</t>
  </si>
  <si>
    <t>10.1.2</t>
  </si>
  <si>
    <t>10.1.3</t>
  </si>
  <si>
    <t>10.1.4</t>
  </si>
  <si>
    <t>10.1.5</t>
  </si>
  <si>
    <t>17.1.1</t>
  </si>
  <si>
    <t>Planejamento</t>
  </si>
  <si>
    <t/>
  </si>
  <si>
    <t>BDI:</t>
  </si>
  <si>
    <t>I - ORÇAMENTO - RESUMO</t>
  </si>
  <si>
    <t>DESCRIÇÃO</t>
  </si>
  <si>
    <t>VALOR</t>
  </si>
  <si>
    <t>VALOR DO BDI ==&gt;</t>
  </si>
  <si>
    <t>TOTAL COM BDI ==&gt;</t>
  </si>
  <si>
    <t>IV - COMPOSIÇÃO DO BDI</t>
  </si>
  <si>
    <t>DISCRIMINAÇÃO</t>
  </si>
  <si>
    <t xml:space="preserve">    % INCIDENTE</t>
  </si>
  <si>
    <t xml:space="preserve"> </t>
  </si>
  <si>
    <t>1</t>
  </si>
  <si>
    <t>ADMINISTRAÇÃO CENTRAL</t>
  </si>
  <si>
    <t>Administração local</t>
  </si>
  <si>
    <t>SUB-TOTAL......................................</t>
  </si>
  <si>
    <t>2</t>
  </si>
  <si>
    <t>SEGURO</t>
  </si>
  <si>
    <t>Seguros</t>
  </si>
  <si>
    <t>GARANTIA</t>
  </si>
  <si>
    <t>garantia e imprevistos</t>
  </si>
  <si>
    <t>RISCOS</t>
  </si>
  <si>
    <t>Risco</t>
  </si>
  <si>
    <t>DESPESAS FINANCEIRAS</t>
  </si>
  <si>
    <t>Despesas financeiras referente capital de giro</t>
  </si>
  <si>
    <t>IMPOSTOS E TAXAS</t>
  </si>
  <si>
    <t>Cofins</t>
  </si>
  <si>
    <t>Imposto sobre serviços (ISS)</t>
  </si>
  <si>
    <t>Pis</t>
  </si>
  <si>
    <t>LUCRO OU BONIFICAÇÃO</t>
  </si>
  <si>
    <t>Lucro ou Bonificação</t>
  </si>
  <si>
    <t>TOTAL DO BDI (BONIFICAÇÕES E DESPESAS INDIRETAS)</t>
  </si>
  <si>
    <t>Onde:</t>
  </si>
  <si>
    <t>AC - taxa de administração central;</t>
  </si>
  <si>
    <t>S - taxa de seguros;</t>
  </si>
  <si>
    <t>R - taxa de riscos;</t>
  </si>
  <si>
    <t>G - taxa de garantias;</t>
  </si>
  <si>
    <t>DF - taxa de despesas financeiras;</t>
  </si>
  <si>
    <t>L - taxa de lucro/remuneração;</t>
  </si>
  <si>
    <t>l - taxa de incidência de impostos (PIS, COFINS, ISS E CPRB).</t>
  </si>
  <si>
    <t>* Fonte da composição, valores de referência e fórmula do BDI: ACÓRDÃOS NS. 325/2007 E 2.369/2011 - TCU - Plenário</t>
  </si>
  <si>
    <t>V - COMPOSIÇÃO DE ENCARGOS</t>
  </si>
  <si>
    <t>ENCARGOS  SOCIAIS  SOBRE   A  MÃO   DE   OBRA</t>
  </si>
  <si>
    <t>CÓDIGO</t>
  </si>
  <si>
    <t>COM DESONERAÇÃO</t>
  </si>
  <si>
    <t>SEM DESONERAÇÃO</t>
  </si>
  <si>
    <t>HORISTA
%</t>
  </si>
  <si>
    <t>MENSALISTA
%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</si>
  <si>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</si>
  <si>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</si>
  <si>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</si>
  <si>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</si>
  <si>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</si>
  <si>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</si>
  <si>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</si>
  <si>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</si>
  <si>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</si>
  <si>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</si>
  <si>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</si>
  <si>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</si>
  <si>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</si>
  <si>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</si>
  <si>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</si>
  <si>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</si>
  <si>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</si>
  <si>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</si>
  <si>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</si>
  <si>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</si>
  <si>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</t>
  </si>
  <si>
    <t>GRUPO B</t>
  </si>
  <si>
    <t>B1</t>
  </si>
  <si>
    <t>Repouso Semanal Remunerado</t>
  </si>
  <si>
    <t>Não incide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</si>
  <si>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</si>
  <si>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</si>
  <si>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</si>
  <si>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</si>
  <si>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</si>
  <si>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</si>
  <si>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</si>
  <si>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</si>
  <si>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</si>
  <si>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</si>
  <si>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</si>
  <si>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</si>
  <si>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</si>
  <si>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</si>
  <si>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</si>
  <si>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</si>
  <si>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</si>
  <si>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</si>
  <si>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</si>
  <si>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</si>
  <si>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</si>
  <si>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</si>
  <si>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</si>
  <si>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</si>
  <si>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</si>
  <si>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</si>
  <si>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</si>
  <si>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</si>
  <si>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</si>
  <si>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</si>
  <si>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</si>
  <si>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</si>
  <si>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</si>
  <si>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</si>
  <si>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</si>
  <si>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D</t>
  </si>
  <si>
    <t>TOTAL(A+B+C+D)</t>
  </si>
  <si>
    <t>cj</t>
  </si>
  <si>
    <t xml:space="preserve">Custo TOTAL </t>
  </si>
  <si>
    <t>IMPORTA O PRESENTE ORÇAMENTO NO VALOR DE:</t>
  </si>
  <si>
    <t>ORÇAMENTO</t>
  </si>
  <si>
    <t>MADEIRA</t>
  </si>
  <si>
    <t>8.1.1</t>
  </si>
  <si>
    <t>8.1.2</t>
  </si>
  <si>
    <t>8.1.3</t>
  </si>
  <si>
    <t>8.1.4</t>
  </si>
  <si>
    <t>8.1.5</t>
  </si>
  <si>
    <t>METÁLICAS</t>
  </si>
  <si>
    <t>8.2.1</t>
  </si>
  <si>
    <t>FERRAGENS PARA ESQUADRIAS DE MADEIRA</t>
  </si>
  <si>
    <t>8.3.1</t>
  </si>
  <si>
    <t>8.3.2</t>
  </si>
  <si>
    <r>
      <rPr>
        <sz val="8"/>
        <color rgb="FF000000"/>
        <rFont val="Arial"/>
        <family val="2"/>
      </rPr>
      <t>Porta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madeira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lei,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lisa,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semi-ôca,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0.60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x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1.80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batentes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e
</t>
    </r>
    <r>
      <rPr>
        <sz val="8"/>
        <color rgb="FF000000"/>
        <rFont val="Arial"/>
        <family val="2"/>
      </rPr>
      <t>ferragens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PM-4</t>
    </r>
  </si>
  <si>
    <r>
      <rPr>
        <sz val="8"/>
        <color rgb="FF000000"/>
        <rFont val="Arial"/>
        <family val="2"/>
      </rPr>
      <t>Porta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madeira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lei,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lisa,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semi-ôca,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0.80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x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1.80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batentes,
</t>
    </r>
    <r>
      <rPr>
        <sz val="8"/>
        <color rgb="FF000000"/>
        <rFont val="Arial"/>
        <family val="2"/>
      </rPr>
      <t>ferragens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barra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PNE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PM-5</t>
    </r>
  </si>
  <si>
    <r>
      <rPr>
        <sz val="8"/>
        <color rgb="FF000000"/>
        <rFont val="Arial"/>
        <family val="2"/>
      </rPr>
      <t>Basculante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ferro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(dimensões,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detalhes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nos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ambientes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conforme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o
</t>
    </r>
    <r>
      <rPr>
        <sz val="8"/>
        <color rgb="FF000000"/>
        <rFont val="Arial"/>
        <family val="2"/>
      </rPr>
      <t>projeto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vide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quadro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esquadrias)</t>
    </r>
  </si>
  <si>
    <r>
      <rPr>
        <sz val="8"/>
        <color rgb="FF000000"/>
        <rFont val="Arial"/>
        <family val="2"/>
      </rPr>
      <t>Fechadura,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maçaneta/espelho,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acabamento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cromado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brilhante,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conforme
</t>
    </r>
    <r>
      <rPr>
        <sz val="8"/>
        <color rgb="FF000000"/>
        <rFont val="Arial"/>
        <family val="2"/>
      </rPr>
      <t>especificações</t>
    </r>
  </si>
  <si>
    <r>
      <rPr>
        <sz val="8"/>
        <color rgb="FF000000"/>
        <rFont val="Arial"/>
        <family val="2"/>
      </rPr>
      <t>Dobradiça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latão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ou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aço,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acabamento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cromado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brilhante,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tipo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média,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3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x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2
</t>
    </r>
    <r>
      <rPr>
        <sz val="8"/>
        <color rgb="FF000000"/>
        <rFont val="Arial"/>
        <family val="2"/>
      </rPr>
      <t>1/2"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anéis,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parafusos,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conforme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especificações</t>
    </r>
  </si>
  <si>
    <t>REVESTIMENTO</t>
  </si>
  <si>
    <t>MASSA</t>
  </si>
  <si>
    <t>-</t>
  </si>
  <si>
    <t>Chapisco em  teto com argamassa traço - 1:3 (cimento / areia)</t>
  </si>
  <si>
    <r>
      <rPr>
        <sz val="8"/>
        <color rgb="FF000000"/>
        <rFont val="Arial"/>
        <family val="2"/>
      </rPr>
      <t>Reboco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paulista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parede,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argamassa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traço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1:2:6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(cimento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cal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/
</t>
    </r>
    <r>
      <rPr>
        <sz val="8"/>
        <color rgb="FF000000"/>
        <rFont val="Arial"/>
        <family val="2"/>
      </rPr>
      <t>areia),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espessura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2,5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cm</t>
    </r>
  </si>
  <si>
    <r>
      <rPr>
        <sz val="8"/>
        <color rgb="FF000000"/>
        <rFont val="Arial"/>
        <family val="2"/>
      </rPr>
      <t>Emboço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parede,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argamassa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traço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1:2:9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(cimento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cal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areia),
</t>
    </r>
    <r>
      <rPr>
        <sz val="8"/>
        <color rgb="FF000000"/>
        <rFont val="Arial"/>
        <family val="2"/>
      </rPr>
      <t>espessura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1,5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cm</t>
    </r>
  </si>
  <si>
    <r>
      <rPr>
        <sz val="8"/>
        <color rgb="FF000000"/>
        <rFont val="Arial"/>
        <family val="2"/>
      </rPr>
      <t>Reboco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paulista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aplicado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teto,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argamassa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traço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1:2:6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(cimento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/
</t>
    </r>
    <r>
      <rPr>
        <sz val="8"/>
        <color rgb="FF000000"/>
        <rFont val="Arial"/>
        <family val="2"/>
      </rPr>
      <t>cal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/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areia),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espessura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1,5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massa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única</t>
    </r>
  </si>
  <si>
    <t>ACABAMENTO</t>
  </si>
  <si>
    <r>
      <rPr>
        <sz val="8"/>
        <color rgb="FF000000"/>
        <rFont val="Arial"/>
        <family val="2"/>
      </rPr>
      <t>10.2.1</t>
    </r>
  </si>
  <si>
    <r>
      <rPr>
        <sz val="8"/>
        <color rgb="FF000000"/>
        <rFont val="Arial"/>
        <family val="2"/>
      </rPr>
      <t>Revestimento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cerâmico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parede,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pei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-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3,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dimensões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10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x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10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cm,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aplicado
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argamassa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industrializada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ac-i,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rejuntado,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exclusive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emboço,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conforme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especificações</t>
    </r>
  </si>
  <si>
    <r>
      <rPr>
        <sz val="8"/>
        <color rgb="FF000000"/>
        <rFont val="Arial"/>
        <family val="2"/>
      </rPr>
      <t>m²</t>
    </r>
  </si>
  <si>
    <t>SOLEIRAS E RODAPÉS</t>
  </si>
  <si>
    <t>SOLEIRA</t>
  </si>
  <si>
    <t>12.1.1</t>
  </si>
  <si>
    <r>
      <rPr>
        <sz val="8"/>
        <color rgb="FF000000"/>
        <rFont val="Arial"/>
        <family val="2"/>
      </rPr>
      <t>Soleira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granito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cinza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andorinha,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l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=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15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cm,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=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cm,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inclusive
</t>
    </r>
    <r>
      <rPr>
        <sz val="8"/>
        <color rgb="FF000000"/>
        <rFont val="Arial"/>
        <family val="2"/>
      </rPr>
      <t>impermeabilização</t>
    </r>
  </si>
  <si>
    <t>RODAPÉ</t>
  </si>
  <si>
    <t>12.2.1</t>
  </si>
  <si>
    <r>
      <rPr>
        <sz val="8"/>
        <color rgb="FF000000"/>
        <rFont val="Arial"/>
        <family val="2"/>
      </rPr>
      <t>Rodapé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cerâmico,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dimensões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8,5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x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40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cm,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aplicado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argamassa
</t>
    </r>
    <r>
      <rPr>
        <sz val="8"/>
        <color rgb="FF000000"/>
        <rFont val="Arial"/>
        <family val="2"/>
      </rPr>
      <t>industrializada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ac-i,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rejuntado,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conforme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especificações</t>
    </r>
  </si>
  <si>
    <t>CONCRETO</t>
  </si>
  <si>
    <r>
      <rPr>
        <sz val="8"/>
        <color rgb="FF000000"/>
        <rFont val="Arial"/>
        <family val="2"/>
      </rPr>
      <t>14.1.1</t>
    </r>
  </si>
  <si>
    <r>
      <rPr>
        <sz val="8"/>
        <color rgb="FF000000"/>
        <rFont val="Arial"/>
        <family val="2"/>
      </rPr>
      <t>m</t>
    </r>
  </si>
  <si>
    <t>BANCADA</t>
  </si>
  <si>
    <r>
      <rPr>
        <sz val="8"/>
        <color rgb="FF000000"/>
        <rFont val="Arial"/>
        <family val="2"/>
      </rPr>
      <t>14.2.1</t>
    </r>
  </si>
  <si>
    <r>
      <rPr>
        <sz val="8"/>
        <color rgb="FF000000"/>
        <rFont val="Arial"/>
        <family val="2"/>
      </rPr>
      <t>un</t>
    </r>
  </si>
  <si>
    <t>14.2.2</t>
  </si>
  <si>
    <r>
      <rPr>
        <sz val="8"/>
        <color rgb="FF000000"/>
        <rFont val="Arial"/>
        <family val="2"/>
      </rPr>
      <t>14.2.3</t>
    </r>
  </si>
  <si>
    <t>14.2.4</t>
  </si>
  <si>
    <r>
      <rPr>
        <sz val="8"/>
        <color rgb="FF000000"/>
        <rFont val="Arial"/>
        <family val="2"/>
      </rPr>
      <t>14.2.5</t>
    </r>
  </si>
  <si>
    <t>14.3.1</t>
  </si>
  <si>
    <t>14.3.2</t>
  </si>
  <si>
    <t>Quadro escolar branco, com moldura, instalado na sala de informática</t>
  </si>
  <si>
    <t>14.3.3</t>
  </si>
  <si>
    <t>INCÊNDIO</t>
  </si>
  <si>
    <t>14.4.1</t>
  </si>
  <si>
    <t>GÁS</t>
  </si>
  <si>
    <t>14.5.1</t>
  </si>
  <si>
    <t>Tubo de aço sem constura SCH 40 ø 3/4"</t>
  </si>
  <si>
    <t>14.5.2</t>
  </si>
  <si>
    <t>Cotovelo em aço forjado classe 10 ø 3/4" x 90º</t>
  </si>
  <si>
    <t>14.5.3</t>
  </si>
  <si>
    <t>Te em aço forjado classe 10 ø 3/4"</t>
  </si>
  <si>
    <t>14.5.4</t>
  </si>
  <si>
    <t>União em aço forjado classe 10 ø 3/4"</t>
  </si>
  <si>
    <t>14.5.5</t>
  </si>
  <si>
    <t>Registro esfera ø 3/4"</t>
  </si>
  <si>
    <t>14.5.6</t>
  </si>
  <si>
    <t>Luva em aço forjado classe 10 ø 3/4"</t>
  </si>
  <si>
    <t>14.6.1</t>
  </si>
  <si>
    <t>Vidro liso incolor 4mm</t>
  </si>
  <si>
    <t>14.6.2</t>
  </si>
  <si>
    <t>Vidro canelado incolor 4mm</t>
  </si>
  <si>
    <t>14.6.3</t>
  </si>
  <si>
    <t>Espelho de cristal 4mm, com moldura de alumínio, acabamento em laminado</t>
  </si>
  <si>
    <t>ELEMENTOS DECORATIVOS E OUTROS</t>
  </si>
  <si>
    <t>REDE LÓGICA</t>
  </si>
  <si>
    <t>15.1.1</t>
  </si>
  <si>
    <t>Eletroduto de pvc rígido roscável 32mm (1.1/4"), fornecimento e instalação</t>
  </si>
  <si>
    <t>15.1.2</t>
  </si>
  <si>
    <t>Curva 90º p/ eletroduto roscável 1.1/4"</t>
  </si>
  <si>
    <t>15.1.3</t>
  </si>
  <si>
    <t>Luva pvc roscavel p/ eletroduto 1.1/4"</t>
  </si>
  <si>
    <t>15.1.4</t>
  </si>
  <si>
    <t>Bucha/arruela aluminio 1.1/4"</t>
  </si>
  <si>
    <t>15.1.5</t>
  </si>
  <si>
    <t>Cabo telefonico CCI-50 2 pares (uso interno) - fornecimento e Instalação</t>
  </si>
  <si>
    <t>15.1.6</t>
  </si>
  <si>
    <t>Cabo UTP 4 pares categoria 6</t>
  </si>
  <si>
    <t>15.1.7</t>
  </si>
  <si>
    <t>Obturador com haste padrão TELEBRAS</t>
  </si>
  <si>
    <t>15.1.8</t>
  </si>
  <si>
    <t>15.1.9</t>
  </si>
  <si>
    <t>Conector RJ45 (fêmea), para lógica</t>
  </si>
  <si>
    <t>15.1.10</t>
  </si>
  <si>
    <t>Espelho plástico RJ11/RJ45 2X4", 2 saidas</t>
  </si>
  <si>
    <t>15.1.11</t>
  </si>
  <si>
    <t>Tomada para telefone de 4 pólos padrão Telebrás - fornecimento e instalação</t>
  </si>
  <si>
    <t>15.1.12</t>
  </si>
  <si>
    <t>Caixa pvc 4" X 4" p/ eletroduto</t>
  </si>
  <si>
    <t>INSTALAÇÕES REDE LÓGICA</t>
  </si>
  <si>
    <t>MUROS E FECHOS</t>
  </si>
  <si>
    <t>16.1.1</t>
  </si>
  <si>
    <t>Muro em cobogó h=1,80m - Padrão FNDE</t>
  </si>
  <si>
    <t>16.1.2</t>
  </si>
  <si>
    <t>Portão de abrir em metalon 40x40mm c/ 10cm 2fls</t>
  </si>
  <si>
    <t>m2</t>
  </si>
  <si>
    <t>16.1.3</t>
  </si>
  <si>
    <t>pç</t>
  </si>
  <si>
    <t>COBERTURA</t>
  </si>
  <si>
    <t>16.2.1</t>
  </si>
  <si>
    <t>Estrutura para telha cerâmica, em madeira aparelhada, apoiada em parede</t>
  </si>
  <si>
    <t>16.2.2</t>
  </si>
  <si>
    <t>16.2.3</t>
  </si>
  <si>
    <t>PORTAL DE ACESSO</t>
  </si>
  <si>
    <t>LIMPEZA</t>
  </si>
  <si>
    <t>LIMPEZA DA OBRA</t>
  </si>
  <si>
    <t>CAMADA IMPERMEABILIZADORA</t>
  </si>
  <si>
    <t>11.1.1</t>
  </si>
  <si>
    <r>
      <rPr>
        <sz val="8"/>
        <color rgb="FF000000"/>
        <rFont val="Arial"/>
        <family val="2"/>
      </rPr>
      <t>Lastro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concreto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simples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regularizado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piso,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inclusive
</t>
    </r>
    <r>
      <rPr>
        <sz val="8"/>
        <color rgb="FF000000"/>
        <rFont val="Arial"/>
        <family val="2"/>
      </rPr>
      <t>impermeabilização</t>
    </r>
  </si>
  <si>
    <r>
      <rPr>
        <sz val="8"/>
        <color rgb="FF000000"/>
        <rFont val="Arial"/>
        <family val="2"/>
      </rPr>
      <t>11.2.1</t>
    </r>
  </si>
  <si>
    <r>
      <rPr>
        <sz val="8"/>
        <color rgb="FF000000"/>
        <rFont val="Arial"/>
        <family val="2"/>
      </rPr>
      <t>Revestimento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cerâmico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para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piso,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dimensões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40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x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40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cm,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pei-4,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aplicado
</t>
    </r>
    <r>
      <rPr>
        <sz val="8"/>
        <color rgb="FF000000"/>
        <rFont val="Arial"/>
        <family val="2"/>
      </rPr>
      <t>com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argamassa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industrializada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ac-i,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rejuntado,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exclusive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regularização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base,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conforme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especificações</t>
    </r>
  </si>
  <si>
    <t>CALÇADA EM CONCRETO</t>
  </si>
  <si>
    <t>11.3.1</t>
  </si>
  <si>
    <t>Piso em concreto simples desempolado, fck = 15 mpa, e = 7 cm</t>
  </si>
  <si>
    <t>PAVIMENTAÇÃO</t>
  </si>
  <si>
    <t>PROPONENTE: PREFEITURA MUNICIPAL DE DOM PEDRO-MA</t>
  </si>
  <si>
    <t>OBRA:  ESCOLA 6 SALAS - CENTRO DO PRIMO (31905)</t>
  </si>
  <si>
    <t>LOCAL: POVOADO CENTRO DO PRIMO, DOM PEDRO-MA</t>
  </si>
  <si>
    <t>Porta em madeira de lei, lisa, semi-ôca, 0.70 x 2.10 m, exclusive ferragens - PM-1</t>
  </si>
  <si>
    <t>Porta em madeira de lei, lisa, semi-ôca, 0.80 x 2.10 m, exclusive ferragens - PM-2</t>
  </si>
  <si>
    <t>Porta em madeira de lei, lisa, semi-ôca, 0.90 x 2.10 m, exclusive ferragens - PM-3</t>
  </si>
  <si>
    <t>Banco de concreto em alvenaria de tijolos, assento em concreto armado, sem encosto, pintado com tinta acrílica, 2 demãos (dimensões, detalhes e nos ambientes conforme projeto)</t>
  </si>
  <si>
    <t>Bancada em granito cinza andorinha de 3cm de espessura, dim 2.85x0,60m, com testeira 7 cm, com instalação de 3 cubas (ver item 5.10.5) e um corte circular, polido, para lixeira conforme projeto.</t>
  </si>
  <si>
    <t>Bancada em granito cinza andorinha de 3cm espessura, dim 3.65x0.60m, inclusive rodopia 7 cm, assentada.</t>
  </si>
  <si>
    <t>Bancada em granito cinza andorinha de 3cm de espessura, dim 3.65x0.60m, com as duas cubas de cozinha, inclusive rodopia 7 cm, e pingadeira 2cm assentada.</t>
  </si>
  <si>
    <t>Bancada em alvenaria, com portas em madeira com revestimento melamínico, tampo em granito cinza andorinha, conforme projeto</t>
  </si>
  <si>
    <t>Bancada com tampo de madeira com revestimento melamínico branco (dim 0,80 x 6,00 m) e base em alvenaria revestida em cerâmica, conforme projeto.</t>
  </si>
  <si>
    <t>Quadro escolar verde e branco, com moldura de madeira e porta giz e pincel atômico, conforme especificações</t>
  </si>
  <si>
    <t>Prateleira em compensado naval 18mm, com revestimento melamínico, inclusive suporte com mão francesa, conforme projeto</t>
  </si>
  <si>
    <t>Extintor de pó químico ABC, capacidade 6 kg, alcance médio do jato 5m , tempo de descarga 16s, NBR9443, 9444, 10721</t>
  </si>
  <si>
    <t>Quadro de distribuicao para telefone n.3, 40X40X12cm em chapa metálica, sem Acessórios, padrão telebras, fornecimento e instalação</t>
  </si>
  <si>
    <t>Tirante com rosca total, ref. DP-48, Ø 1 1/4"x600mm, fabricação REAL PERFIL ou similar</t>
  </si>
  <si>
    <t>Cobertura em telha cerâmica tipo canal, com argamassa traço 1:3 (cimento e areia) e arame recozido</t>
  </si>
  <si>
    <t xml:space="preserve">Cumeeira com telha cerâmica embocada com argamassa traço 1:2:8 (cimento, cal hidratada e areia) </t>
  </si>
  <si>
    <t>INSTALAÇÕES HIDRO-SANITÁRIAS</t>
  </si>
  <si>
    <t>5</t>
  </si>
  <si>
    <t>TUBO PVC SOLDÁVEL PARA ÁGUA POTÁVEL</t>
  </si>
  <si>
    <t>Tubo pvc rígido soldável marrom p/ água, d = 50 mm</t>
  </si>
  <si>
    <t>Tubo pvc rígido soldável marrom p/ água, d = 40 mm</t>
  </si>
  <si>
    <t>Tubo pvc rígido soldável marrom p/ água, d = 32 mm</t>
  </si>
  <si>
    <t>Tubo pvc rígido soldável marrom p/ água, d = 25 mm</t>
  </si>
  <si>
    <t>5.1.1</t>
  </si>
  <si>
    <t>5.1.2</t>
  </si>
  <si>
    <t>5.1.3</t>
  </si>
  <si>
    <t>5.1.4</t>
  </si>
  <si>
    <t>5.1.5</t>
  </si>
  <si>
    <t>5.2</t>
  </si>
  <si>
    <t>5.3</t>
  </si>
  <si>
    <t>5.4</t>
  </si>
  <si>
    <t>5.2.1</t>
  </si>
  <si>
    <t>5.2.2</t>
  </si>
  <si>
    <t>5.2.3</t>
  </si>
  <si>
    <t>5.4.1</t>
  </si>
  <si>
    <t>5.4.2</t>
  </si>
  <si>
    <t>5.4.3</t>
  </si>
  <si>
    <t>5.3.1.</t>
  </si>
  <si>
    <t>5.6</t>
  </si>
  <si>
    <t>5.7</t>
  </si>
  <si>
    <t>5.6.1</t>
  </si>
  <si>
    <t>5.6.2</t>
  </si>
  <si>
    <t>5.6.3</t>
  </si>
  <si>
    <t>5.7.1</t>
  </si>
  <si>
    <t>5.4.4</t>
  </si>
  <si>
    <t>5.4.5</t>
  </si>
  <si>
    <t>5.7.2</t>
  </si>
  <si>
    <t>5.7.3</t>
  </si>
  <si>
    <t>5.7.4</t>
  </si>
  <si>
    <t>5.8</t>
  </si>
  <si>
    <t>5.8.1</t>
  </si>
  <si>
    <t>5.8.2</t>
  </si>
  <si>
    <t>5.8.3</t>
  </si>
  <si>
    <t>5.8.4</t>
  </si>
  <si>
    <t>5.9</t>
  </si>
  <si>
    <t>5.9.1</t>
  </si>
  <si>
    <t>5.9.2</t>
  </si>
  <si>
    <t>5.9.3</t>
  </si>
  <si>
    <t>5.9.4</t>
  </si>
  <si>
    <t>5.9.5</t>
  </si>
  <si>
    <t>5.9.6</t>
  </si>
  <si>
    <t>5.9.7</t>
  </si>
  <si>
    <t>5.9.8</t>
  </si>
  <si>
    <t>5.9.9</t>
  </si>
  <si>
    <t>5.10</t>
  </si>
  <si>
    <t>5.10.1</t>
  </si>
  <si>
    <t>5.10.2</t>
  </si>
  <si>
    <t>5.10.3</t>
  </si>
  <si>
    <t>5.10.4</t>
  </si>
  <si>
    <t>5.10.5</t>
  </si>
  <si>
    <t>5.10.6</t>
  </si>
  <si>
    <t>6.4</t>
  </si>
  <si>
    <t>6.5</t>
  </si>
  <si>
    <t>6.1.1</t>
  </si>
  <si>
    <t>6.1.2</t>
  </si>
  <si>
    <t>6.2.1</t>
  </si>
  <si>
    <t>6.2.2</t>
  </si>
  <si>
    <t>6.2.3</t>
  </si>
  <si>
    <t>6.2.4</t>
  </si>
  <si>
    <t>6.2.5</t>
  </si>
  <si>
    <t>6.2.6</t>
  </si>
  <si>
    <t>6.3.1</t>
  </si>
  <si>
    <t>6.3.2</t>
  </si>
  <si>
    <t>6.4.1</t>
  </si>
  <si>
    <t>6.4.2</t>
  </si>
  <si>
    <t>6.5.1</t>
  </si>
  <si>
    <t>6.6</t>
  </si>
  <si>
    <t>6.7</t>
  </si>
  <si>
    <t>6.6.1</t>
  </si>
  <si>
    <t>6.6.2</t>
  </si>
  <si>
    <t>6.7.1</t>
  </si>
  <si>
    <t>6.7.2</t>
  </si>
  <si>
    <t>6.7.3</t>
  </si>
  <si>
    <t>6.8</t>
  </si>
  <si>
    <t>6.8.1</t>
  </si>
  <si>
    <t>6.8.2</t>
  </si>
  <si>
    <t>6.8.3</t>
  </si>
  <si>
    <t>6.8.4</t>
  </si>
  <si>
    <t>6.8.5</t>
  </si>
  <si>
    <t>6.8.6</t>
  </si>
  <si>
    <t>6.9</t>
  </si>
  <si>
    <t>6.10</t>
  </si>
  <si>
    <t>6.9.1</t>
  </si>
  <si>
    <t>6.9.2</t>
  </si>
  <si>
    <t>6.9.3</t>
  </si>
  <si>
    <t>6.9.4</t>
  </si>
  <si>
    <t>6.10.1</t>
  </si>
  <si>
    <t>6.10.2</t>
  </si>
  <si>
    <t>6.10.3</t>
  </si>
  <si>
    <t>6.10.4</t>
  </si>
  <si>
    <t>6.10.5</t>
  </si>
  <si>
    <t>6.11</t>
  </si>
  <si>
    <t>6.12</t>
  </si>
  <si>
    <t>6.13</t>
  </si>
  <si>
    <t>6.14</t>
  </si>
  <si>
    <t>6.11.1</t>
  </si>
  <si>
    <t>6.12.1</t>
  </si>
  <si>
    <t>6.13.1</t>
  </si>
  <si>
    <t>6.14.1</t>
  </si>
  <si>
    <t>6.14.2</t>
  </si>
  <si>
    <t>6.15</t>
  </si>
  <si>
    <t>6.15.1</t>
  </si>
  <si>
    <t>6.15.2</t>
  </si>
  <si>
    <t>6.15.3</t>
  </si>
  <si>
    <t>7.2</t>
  </si>
  <si>
    <t>7.3</t>
  </si>
  <si>
    <t>7.4</t>
  </si>
  <si>
    <t>7.1.1</t>
  </si>
  <si>
    <t>7.1.2</t>
  </si>
  <si>
    <t>7.1.3</t>
  </si>
  <si>
    <t>7.2.1</t>
  </si>
  <si>
    <t>7.3.1</t>
  </si>
  <si>
    <t>7.4.1</t>
  </si>
  <si>
    <t>9.1</t>
  </si>
  <si>
    <t>9.2</t>
  </si>
  <si>
    <t>9.1.1</t>
  </si>
  <si>
    <t>9.1.2</t>
  </si>
  <si>
    <t>9.1.3</t>
  </si>
  <si>
    <t>9.2.1</t>
  </si>
  <si>
    <t>13.1</t>
  </si>
  <si>
    <t>13.2</t>
  </si>
  <si>
    <t>13.1.1</t>
  </si>
  <si>
    <t>13.1.2</t>
  </si>
  <si>
    <t>13.2.1</t>
  </si>
  <si>
    <t>13.2.2</t>
  </si>
  <si>
    <t>13.2.3</t>
  </si>
  <si>
    <t>Tubo pvc rígido soldável marrom p/ água, d = 20 mm</t>
  </si>
  <si>
    <t>ADAPTADOR CURTO DE PVC PARA REGISTRO</t>
  </si>
  <si>
    <t>"Adaptador de pvc rígido soldável curto c/ bolsa e rosca p/ registro diâm = 50mm x 11/4"""</t>
  </si>
  <si>
    <t>"Adaptador de pvc rígido soldável curto c/ bolsa e rosca p/ registro diâm = 25mm x 3/4"""</t>
  </si>
  <si>
    <t>"Adaptador de pvc rígido soldável curto c/ bolsa e rosca p/ registro diâm = 20mm x 1/2"""</t>
  </si>
  <si>
    <t>REGISTRO DE GAVETA BRUTO</t>
  </si>
  <si>
    <t>Registro gaveta bruto, DN 40 mm (1 1/2)</t>
  </si>
  <si>
    <t>Registro gaveta bruto, DN 50 mm (2)</t>
  </si>
  <si>
    <t xml:space="preserve"> Registro gaveta bruto, DN 60 mm (2 1/2)</t>
  </si>
  <si>
    <t>REGISTRO DE GAVETA COM ACABAMENTO</t>
  </si>
  <si>
    <t>Registro gaveta c/ canopla cromada, DN 20 mm (3/4)</t>
  </si>
  <si>
    <t>Registro gaveta c/ canopla cromada, DN 25 mm (1)</t>
  </si>
  <si>
    <t>Registro gaveta c/ canopla cromada, DN 32 mm (1 1/4)</t>
  </si>
  <si>
    <t>REGISTRO DE PRESSÃO COM ACABAMENTO</t>
  </si>
  <si>
    <t>Registro pressão c/ canopla cromada, DN 20 mm (3/4)</t>
  </si>
  <si>
    <t>DIVERSOS - ÁGUA FRIA</t>
  </si>
  <si>
    <t>Caixa d'água metalica, capacidade 20.000 L - instalada, inclusive estrutura em concreto armado de suporte, conforme projeto</t>
  </si>
  <si>
    <t>Colocação de hidrômetro em ligação existente, c/remanejamento p/o muro ou fachada, inclusive cavalete e caixa de proteção</t>
  </si>
  <si>
    <t>Torneira de jardim, inclusive poste de proteção</t>
  </si>
  <si>
    <t>TUBO PVC SOLDÁVEL PARA ESGOTO</t>
  </si>
  <si>
    <t>Tubo pvc rígido c/ anéis, ponta e bolsa p/ esgoto secundário, d=40 mm</t>
  </si>
  <si>
    <t>Tubo pvc rígido c/ anéis, ponta e bolsa p/ esgoto secundário, d=50 mm</t>
  </si>
  <si>
    <t xml:space="preserve"> Tubo pvc rígido c/ anéis, ponta e bolsa p/ esgoto primário, d=75 mm</t>
  </si>
  <si>
    <t>Tubo pvc rígido c/ anéis, ponta e bolsa p/ esgoto primário, d=100 mm</t>
  </si>
  <si>
    <t>DIVERSOS - ESGOTO</t>
  </si>
  <si>
    <t xml:space="preserve"> Caixa sifonada quadrada, com três entradas e uma saida, d = 100x100x50mm, acabamento aluminio</t>
  </si>
  <si>
    <t>Ralo sifonado em pvc d = 100 mm altura regulável, saída 40 mm, com grelha redonda acabamento cromado</t>
  </si>
  <si>
    <t>Caixa de gordura em alvenaria (90 x 90 x 120 cm)</t>
  </si>
  <si>
    <t>Caixa de inspeção em alvenaria (90 x 90 x 120 cm)</t>
  </si>
  <si>
    <t>LOUÇAS - FORNECIMENTO E INSTALAÇÃO</t>
  </si>
  <si>
    <t>Bacia sanitaria convencional, inclusive assento, conjunto de fixação, anel de vedação, tubo de ligação com acabamento cromado e engate plástico</t>
  </si>
  <si>
    <t>Lavatório com coluna, com sifão plástico, engate plástico torneira de metal, válvula cromada, conjunto de fixação, conforme especificações</t>
  </si>
  <si>
    <t>Bacia sanitaria com caixa de descarga acoplada, inclusive assento , conjunto de fixação, anel de vedação, tubo de ligação e engate plástico, conforme especificações</t>
  </si>
  <si>
    <t>Lavatório sem coluna, com sifão plástico, engate plástico torneira de metal, válvula cromada, conjunto de fixação, conforme especificações, para PNE</t>
  </si>
  <si>
    <t>Tanque de louça com coluna, com torneira metálica, c/ válvula de plástico e conjunto de fixação, conforme especificações</t>
  </si>
  <si>
    <t xml:space="preserve"> Papeleira de louça, conforme especificações</t>
  </si>
  <si>
    <t>Cabide de louça, branco, conforme especificações</t>
  </si>
  <si>
    <t>Chuveiro eletrico de plastico</t>
  </si>
  <si>
    <t>METAIS</t>
  </si>
  <si>
    <t>"Torneira cromada para pia de cozinha, de mesa, com articulador, ø 1/2"""</t>
  </si>
  <si>
    <t>Válvula de descarga cromada</t>
  </si>
  <si>
    <t>Fornecimento e instalação saboneteira de louça, conforme especificações</t>
  </si>
  <si>
    <t>Cuba inox de embutir, em bancada</t>
  </si>
  <si>
    <t>"Barra de apoio para deficiente em ferro galvanizado de 11/2"", l = 80cm (bacia sanitária e mictório), inclusive parafusos de fixação e pintura"</t>
  </si>
  <si>
    <t xml:space="preserve"> "Barra de apoio para deficiente em ferro galvanizado de 11/2"", l = 140cm (lavatório), inclusive parafusos de fixação e pintura"</t>
  </si>
  <si>
    <t>ELETRODUTO DE PVC RÍGIDO</t>
  </si>
  <si>
    <t>"Eletroduto de pvc rígido roscável, diâm = 40mm (1 1/4"")"</t>
  </si>
  <si>
    <t>"Eletroduto de pvc rígido roscável, diâm = 32mm (1"")"</t>
  </si>
  <si>
    <t>FIOS E CABOS</t>
  </si>
  <si>
    <t xml:space="preserve"> Fio isolado em pvc seção 1,5mm² - 750v / 70°c</t>
  </si>
  <si>
    <t xml:space="preserve"> Fio isolado em pvc seção 2,5mm² - 750v / 70°c</t>
  </si>
  <si>
    <t>Fio isolado em pvc seção 4,0mm² - 750v / 70°c</t>
  </si>
  <si>
    <t>Fio isolado em pvc seção 6,0mm² - 750v / 70°c</t>
  </si>
  <si>
    <t xml:space="preserve"> Cabo isolado em pvc seção 10,0mm² - 750v / 70°c</t>
  </si>
  <si>
    <t>Cabo isolado em pvc seção 16,0mm² - 750v / 70°c</t>
  </si>
  <si>
    <t>CABO TELEFÔNICO</t>
  </si>
  <si>
    <t xml:space="preserve"> Instalação de cabo telefônico CCE 50-02</t>
  </si>
  <si>
    <t>Instalação de cabo telefônico CCI 50-02</t>
  </si>
  <si>
    <t>INTERRUPTOR</t>
  </si>
  <si>
    <t>Interruptor 01 seção simples</t>
  </si>
  <si>
    <t xml:space="preserve"> Interruptor 02 seções simples</t>
  </si>
  <si>
    <t>TOMADAS DE TELEFONE DE EMBUTIR</t>
  </si>
  <si>
    <t xml:space="preserve"> Tomada para telefone, com caixa pvc, embutida</t>
  </si>
  <si>
    <t>TOMADAS ELÉTRICAS DE EMBUTIR</t>
  </si>
  <si>
    <t>Tomada de embutir para uso geral, 2p+t</t>
  </si>
  <si>
    <t>"Fornecimento e assentamento de caixa pvc 4"" x 2"" com tampa"</t>
  </si>
  <si>
    <t>"Fornecimento e assentamento de caixa pvc 4"" x 4"""</t>
  </si>
  <si>
    <t>"Fornecimento e assentamento de caixa octogonal de pvc 4"" x 4"""</t>
  </si>
  <si>
    <t xml:space="preserve"> QDL - BLOCO ADMINISTRATIVO - 380 / 220 VOLTS</t>
  </si>
  <si>
    <t>Quadro de distribuição de embutir, com barramento, em chapa de aço, para até 12 disjuntores padrão DIN (Europeu - linha branca), exclusive disjuntores</t>
  </si>
  <si>
    <t>Disjuntor termomagnetico tripolar 70 A, padrão DIN (linha branca)</t>
  </si>
  <si>
    <t>Disjuntor termomagnetico monopolar 16 A, padrão DIN (linha branca)</t>
  </si>
  <si>
    <t>Disjuntor termomagnetico monopolar 20 A, padrão DIN (linha branca)</t>
  </si>
  <si>
    <t>Disjuntor termomagnetico tripolar 32 A, padrão DIN (linha branca)</t>
  </si>
  <si>
    <t>Disjuntor termomagnetico tripolar 50 A, padrão DIN (linha branca)</t>
  </si>
  <si>
    <t>QDL - BLOCO PEDAGÁGICO - 380 / 220 VOLTS</t>
  </si>
  <si>
    <t>Quadro de distribuição de embutir, com barramento, em chapa de aço, para até 12 disjuntores padrão europeu (linha branca), exclusive disjuntores</t>
  </si>
  <si>
    <t>QDL - BLOCO DE SERVIÇO - 380 / 220 VOLTS</t>
  </si>
  <si>
    <t xml:space="preserve"> Disjuntor termomagnetico monopolar 25 A, padrão DIN (linha branca)</t>
  </si>
  <si>
    <t>CAIXA DE PASSAGEM EM ALVENARIA</t>
  </si>
  <si>
    <t>Caixa de passagem em alvenaria de tijolos maciços esp. = 0,12m, dim. int. = 0.60 x 0.60 x 0.60m</t>
  </si>
  <si>
    <t>CAIXA DE DISTRIBUIÇÃO GERAL DE TELEFONE</t>
  </si>
  <si>
    <t xml:space="preserve"> LUMINÁRIAS</t>
  </si>
  <si>
    <t>Luminária fluorescente de embutir aberta 1 x 32 w, completa, conforme especificações</t>
  </si>
  <si>
    <t>Luminária fluorescente de embutir aberta 2 x 32 w, completa, conforme especificações</t>
  </si>
  <si>
    <t xml:space="preserve"> Cabo de cobre nú 35 mm2</t>
  </si>
  <si>
    <t>Conjunto Terminal aéreo, presilha e fixação</t>
  </si>
  <si>
    <t xml:space="preserve"> Conector e descida para pilares</t>
  </si>
  <si>
    <t>Distribuidor geral padrão telebrás dimensões 0,20 x 0,20 x 0,12m</t>
  </si>
  <si>
    <t>CAIXA DE MEDIÇÃO</t>
  </si>
  <si>
    <t>Quadro de medição trifásica (acima de 10 kva) com caixa em noril</t>
  </si>
  <si>
    <t xml:space="preserve"> Disjuntor termomagnetico monopolar 20 A, padrão DIN (linha branca)</t>
  </si>
  <si>
    <t>Tomada de embutir para uso geral, 2p+t, dupla</t>
  </si>
  <si>
    <t>CAIXA DE EMBUTIR DE PVC</t>
  </si>
  <si>
    <t>SISTEMA DE PROTEÇÃO CONTRA DESCARGA ATMOSFÉRICAS</t>
  </si>
  <si>
    <t>PAREDES E PAÍNES</t>
  </si>
  <si>
    <t>ALVENARIA</t>
  </si>
  <si>
    <t>Alvenaria de bloco cerâmico (9x19x25 cm), e = 0.09 m, com argamassa traço - 1:2:8 (cimento / cal / areia)</t>
  </si>
  <si>
    <t>Vergas e contra-vergas em concreto armado fck=15 mpa, seção 9x12cm</t>
  </si>
  <si>
    <t>Aperto de Alvenaria em tijolo cerâmico maciço, esp = 0,10m, com argamassa traço - 1:2:8 (cimento / cal / areia), à revestir</t>
  </si>
  <si>
    <t>DIVISÓRIA</t>
  </si>
  <si>
    <t>Divisória em granito cinza andorinha polido, e=3cm, inclusive montagem com ferragens</t>
  </si>
  <si>
    <t>ELEMENTO VAZADO</t>
  </si>
  <si>
    <t xml:space="preserve"> Cobogó cerâmico (elemento vazado), 15x15x10cm, assentado com argamassa traco 1:4 de cimento e areia</t>
  </si>
  <si>
    <t>IMPERMEABILIZAÇÕES</t>
  </si>
  <si>
    <t>Impermeabização de baldrame com emulsão asfáltica</t>
  </si>
  <si>
    <t>17.1</t>
  </si>
  <si>
    <t>16.2</t>
  </si>
  <si>
    <t>16.1</t>
  </si>
  <si>
    <t>15.1</t>
  </si>
  <si>
    <t>14.6</t>
  </si>
  <si>
    <t>14.5</t>
  </si>
  <si>
    <t>14.4</t>
  </si>
  <si>
    <t>14.3</t>
  </si>
  <si>
    <t>14.2</t>
  </si>
  <si>
    <t>14.1</t>
  </si>
  <si>
    <t>12.1</t>
  </si>
  <si>
    <t>12.2</t>
  </si>
  <si>
    <t>11.3</t>
  </si>
  <si>
    <t>11.1</t>
  </si>
  <si>
    <t>11.2</t>
  </si>
  <si>
    <t>10.2</t>
  </si>
  <si>
    <t>10.1</t>
  </si>
  <si>
    <t>8.2</t>
  </si>
  <si>
    <t>8.3</t>
  </si>
  <si>
    <t>8.1</t>
  </si>
  <si>
    <t>Cuba de sobrepor oval, p/ instalação em bancadas, c/ sifão cromado, torneira de metal, engate plástico conforme especificações</t>
  </si>
  <si>
    <t>ACRÍLICA</t>
  </si>
  <si>
    <t>Pintura sobre paredes, com lixamento, aplicação de 01 demão de selador acrílico, 02 demãos de massa acrílica e 02 demãos de tinta acrílica</t>
  </si>
  <si>
    <t>Pintura sobre teto, com lixamento, aplicação de 01 demão de selador acrílico, 02 demãos de massa acrílica e 02 demãos de tinta acrílica</t>
  </si>
  <si>
    <t>ESMALTE</t>
  </si>
  <si>
    <t>Pintura de acabamento, sobre madeira, com lixamento, aplicação de 02 demãos de esmalte, inclusive emassamento</t>
  </si>
  <si>
    <t>Pintura de acabamento, sobre estrutura de madeira, com lixamento, aplicação de 01 demão de esmalte sintético, inclusive emassamento</t>
  </si>
  <si>
    <t>Pintura sobre superfícies metálicas, com lixamento, aplicação de 01 demão de tinta à base de zarcão e 02 demãos de tinta esmalte</t>
  </si>
  <si>
    <t>TELHAS E ESTRUTURA EM MADEIRA</t>
  </si>
  <si>
    <t>Telhado em telha colonial de primeira qualidade</t>
  </si>
  <si>
    <t>Cumeeira para telha canal comum, inclusive emassamento</t>
  </si>
  <si>
    <t>Estrutura para telha cerâmica, em madeira de lei aparelhada</t>
  </si>
  <si>
    <t>CHAPAS</t>
  </si>
  <si>
    <t>Rufo em chapa de aço, esp = 0,65mm, larg = 30,0cm</t>
  </si>
  <si>
    <t>PINTURAS</t>
  </si>
  <si>
    <t>PREÇO UNIT SEM BDI (R$)</t>
  </si>
  <si>
    <t>PREÇO UNIT COM BDI (R$)</t>
  </si>
  <si>
    <t>INSTALAÇÕES ELÉTRICAS E TELEFÔNICAS (380/220V)</t>
  </si>
  <si>
    <t>Reincidência de Grupo A sobre Aviso Prévio
Trabalhado e Reincidência do FGTS sobre Aviso
Prévio Indenizado</t>
  </si>
  <si>
    <t>BANCO</t>
  </si>
  <si>
    <t xml:space="preserve"> C2848 </t>
  </si>
  <si>
    <t>SEINFRA</t>
  </si>
  <si>
    <t xml:space="preserve"> 8236 </t>
  </si>
  <si>
    <t>ORSE</t>
  </si>
  <si>
    <t xml:space="preserve"> 1529 </t>
  </si>
  <si>
    <t xml:space="preserve"> 1530 </t>
  </si>
  <si>
    <t xml:space="preserve"> 1531 </t>
  </si>
  <si>
    <t xml:space="preserve"> 1532 </t>
  </si>
  <si>
    <t xml:space="preserve"> 1697 </t>
  </si>
  <si>
    <t xml:space="preserve"> 1702 </t>
  </si>
  <si>
    <t xml:space="preserve"> C0601 </t>
  </si>
  <si>
    <t xml:space="preserve"> C0604 </t>
  </si>
  <si>
    <t xml:space="preserve"> 95470 </t>
  </si>
  <si>
    <t>SINAPI</t>
  </si>
  <si>
    <t xml:space="preserve"> 86931 </t>
  </si>
  <si>
    <t xml:space="preserve"> 86939 </t>
  </si>
  <si>
    <t xml:space="preserve"> 86943 </t>
  </si>
  <si>
    <t xml:space="preserve"> 7352 </t>
  </si>
  <si>
    <t xml:space="preserve"> 4853 </t>
  </si>
  <si>
    <t xml:space="preserve"> 95544 </t>
  </si>
  <si>
    <t xml:space="preserve"> 4325 </t>
  </si>
  <si>
    <t xml:space="preserve"> 2025 </t>
  </si>
  <si>
    <t xml:space="preserve"> 3696 </t>
  </si>
  <si>
    <t xml:space="preserve"> 8235 </t>
  </si>
  <si>
    <t xml:space="preserve"> 2032 </t>
  </si>
  <si>
    <t xml:space="preserve"> 86900 </t>
  </si>
  <si>
    <t xml:space="preserve"> 100868 </t>
  </si>
  <si>
    <t xml:space="preserve"> 100869 </t>
  </si>
  <si>
    <t>MERCADO</t>
  </si>
  <si>
    <t xml:space="preserve"> C0560 </t>
  </si>
  <si>
    <t xml:space="preserve"> C0563 </t>
  </si>
  <si>
    <t xml:space="preserve"> 3401 </t>
  </si>
  <si>
    <t xml:space="preserve"> 3402 </t>
  </si>
  <si>
    <t xml:space="preserve"> 788 </t>
  </si>
  <si>
    <t xml:space="preserve"> 92000 </t>
  </si>
  <si>
    <t xml:space="preserve"> 92008 </t>
  </si>
  <si>
    <t xml:space="preserve"> 101875 </t>
  </si>
  <si>
    <t xml:space="preserve"> 452 </t>
  </si>
  <si>
    <t xml:space="preserve"> 8635 </t>
  </si>
  <si>
    <t xml:space="preserve"> 8306 </t>
  </si>
  <si>
    <t xml:space="preserve"> 451 </t>
  </si>
  <si>
    <t xml:space="preserve"> 8001 </t>
  </si>
  <si>
    <t xml:space="preserve"> 9723 </t>
  </si>
  <si>
    <t xml:space="preserve"> 339 </t>
  </si>
  <si>
    <t xml:space="preserve"> 2797 </t>
  </si>
  <si>
    <t xml:space="preserve"> 502 </t>
  </si>
  <si>
    <t xml:space="preserve"> 672 </t>
  </si>
  <si>
    <t xml:space="preserve"> 673 </t>
  </si>
  <si>
    <t xml:space="preserve"> 4142 </t>
  </si>
  <si>
    <t xml:space="preserve"> 8795 </t>
  </si>
  <si>
    <t xml:space="preserve"> 10694 </t>
  </si>
  <si>
    <t xml:space="preserve"> 102253 </t>
  </si>
  <si>
    <t xml:space="preserve"> 10783 </t>
  </si>
  <si>
    <t xml:space="preserve"> 100681 </t>
  </si>
  <si>
    <t xml:space="preserve"> 100689 </t>
  </si>
  <si>
    <t xml:space="preserve"> 90844 </t>
  </si>
  <si>
    <t xml:space="preserve"> 9692 </t>
  </si>
  <si>
    <t xml:space="preserve"> 12515 </t>
  </si>
  <si>
    <t xml:space="preserve"> 1870 </t>
  </si>
  <si>
    <t xml:space="preserve"> 94201 </t>
  </si>
  <si>
    <t xml:space="preserve"> 94221 </t>
  </si>
  <si>
    <t xml:space="preserve"> 11369 </t>
  </si>
  <si>
    <t xml:space="preserve"> 2169 </t>
  </si>
  <si>
    <t xml:space="preserve"> 87248 </t>
  </si>
  <si>
    <t xml:space="preserve"> 101747 </t>
  </si>
  <si>
    <t xml:space="preserve"> 98689 </t>
  </si>
  <si>
    <t xml:space="preserve"> 5064 </t>
  </si>
  <si>
    <t xml:space="preserve"> 2291 </t>
  </si>
  <si>
    <t xml:space="preserve"> 2308 </t>
  </si>
  <si>
    <t xml:space="preserve"> 2313 </t>
  </si>
  <si>
    <t xml:space="preserve"> 2311 </t>
  </si>
  <si>
    <t xml:space="preserve"> 3226 </t>
  </si>
  <si>
    <t xml:space="preserve"> C0357 </t>
  </si>
  <si>
    <t xml:space="preserve"> C3996 </t>
  </si>
  <si>
    <t xml:space="preserve"> 2012 </t>
  </si>
  <si>
    <t xml:space="preserve"> 2393 </t>
  </si>
  <si>
    <t xml:space="preserve"> 2387 </t>
  </si>
  <si>
    <t xml:space="preserve"> 1776 </t>
  </si>
  <si>
    <t xml:space="preserve"> 1511 </t>
  </si>
  <si>
    <t xml:space="preserve"> 92690 </t>
  </si>
  <si>
    <t xml:space="preserve"> 96854 </t>
  </si>
  <si>
    <t xml:space="preserve"> 97553 </t>
  </si>
  <si>
    <t xml:space="preserve"> 92905 </t>
  </si>
  <si>
    <t xml:space="preserve"> 90371 </t>
  </si>
  <si>
    <t xml:space="preserve"> 97540 </t>
  </si>
  <si>
    <t xml:space="preserve"> 102162 </t>
  </si>
  <si>
    <t xml:space="preserve"> 1883 </t>
  </si>
  <si>
    <t xml:space="preserve"> 7348 </t>
  </si>
  <si>
    <t xml:space="preserve"> 355 </t>
  </si>
  <si>
    <t xml:space="preserve"> 364 </t>
  </si>
  <si>
    <t xml:space="preserve"> 1305 </t>
  </si>
  <si>
    <t xml:space="preserve"> 9925 </t>
  </si>
  <si>
    <t xml:space="preserve"> 10573 </t>
  </si>
  <si>
    <t xml:space="preserve"> 7138 </t>
  </si>
  <si>
    <t xml:space="preserve"> 787 </t>
  </si>
  <si>
    <t xml:space="preserve"> 100561 </t>
  </si>
  <si>
    <t xml:space="preserve"> 7164 </t>
  </si>
  <si>
    <t xml:space="preserve"> 714 </t>
  </si>
  <si>
    <t xml:space="preserve"> C2486 </t>
  </si>
  <si>
    <t xml:space="preserve"> 743 </t>
  </si>
  <si>
    <t xml:space="preserve"> 11396 </t>
  </si>
  <si>
    <t xml:space="preserve"> 12980 </t>
  </si>
  <si>
    <t xml:space="preserve"> 12545 </t>
  </si>
  <si>
    <t xml:space="preserve"> C1336 </t>
  </si>
  <si>
    <t xml:space="preserve"> C4466 </t>
  </si>
  <si>
    <t xml:space="preserve"> 2450 </t>
  </si>
  <si>
    <t xml:space="preserve">ENCARGOS SOCIAIS SOBRE PREÇO DE MÃO-DE-OBRA: 112,90% (HORA)  </t>
  </si>
  <si>
    <t>REF. SINAPI 03/22 (SEM DESONERAÇÃO) MARANHÃO - ORSE 02/22 - SEINFRA 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</si>
</sst>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sz val="10"/>
      <name val="Times New Roman"/>
      <family val="1"/>
    </font>
    <font>
      <sz val="10"/>
      <name val="MS Sans Serif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38DD3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rgb="FF7A9FCD"/>
      </top>
      <bottom style="thin">
        <color rgb="FF7A9FCD"/>
      </bottom>
      <diagonal/>
    </border>
    <border>
      <left/>
      <right/>
      <top style="thin">
        <color rgb="FF7A9FCD"/>
      </top>
      <bottom style="thin">
        <color rgb="FF7A9FCD"/>
      </bottom>
      <diagonal/>
    </border>
    <border>
      <left/>
      <right style="thin">
        <color auto="1"/>
      </right>
      <top style="thin">
        <color rgb="FF7A9FCD"/>
      </top>
      <bottom style="thin">
        <color rgb="FF7A9FCD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699">
    <xf numFmtId="0" fontId="0" fillId="0" borderId="0"/>
    <xf numFmtId="0" fontId="18" fillId="0" borderId="0" applyNumberFormat="0" applyBorder="0" applyProtection="0"/>
    <xf numFmtId="0" fontId="18" fillId="0" borderId="0" applyNumberFormat="0" applyBorder="0" applyProtection="0"/>
    <xf numFmtId="165" fontId="18" fillId="0" borderId="0" applyBorder="0" applyProtection="0"/>
    <xf numFmtId="165" fontId="18" fillId="0" borderId="0" applyBorder="0" applyProtection="0"/>
    <xf numFmtId="0" fontId="10" fillId="0" borderId="0"/>
    <xf numFmtId="0" fontId="18" fillId="0" borderId="0" applyNumberFormat="0" applyBorder="0" applyProtection="0"/>
    <xf numFmtId="0" fontId="19" fillId="0" borderId="0" applyNumberFormat="0" applyBorder="0" applyProtection="0"/>
    <xf numFmtId="166" fontId="19" fillId="0" borderId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7" fillId="0" borderId="0"/>
    <xf numFmtId="0" fontId="7" fillId="0" borderId="0"/>
    <xf numFmtId="0" fontId="21" fillId="0" borderId="0"/>
    <xf numFmtId="0" fontId="17" fillId="0" borderId="0"/>
    <xf numFmtId="0" fontId="7" fillId="0" borderId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 applyNumberFormat="0" applyBorder="0" applyProtection="0"/>
    <xf numFmtId="167" fontId="22" fillId="0" borderId="0" applyBorder="0" applyProtection="0"/>
    <xf numFmtId="164" fontId="7" fillId="0" borderId="0" applyFont="0" applyFill="0" applyBorder="0" applyAlignment="0" applyProtection="0"/>
    <xf numFmtId="165" fontId="18" fillId="0" borderId="0" applyBorder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24" fillId="0" borderId="0"/>
    <xf numFmtId="168" fontId="7" fillId="0" borderId="0" applyFont="0" applyFill="0" applyBorder="0" applyAlignment="0" applyProtection="0"/>
    <xf numFmtId="169" fontId="25" fillId="0" borderId="0">
      <protection locked="0"/>
    </xf>
    <xf numFmtId="0" fontId="8" fillId="6" borderId="9" applyFill="0" applyBorder="0" applyAlignment="0" applyProtection="0">
      <alignment vertical="center"/>
      <protection locked="0"/>
    </xf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10" fillId="0" borderId="0"/>
    <xf numFmtId="173" fontId="25" fillId="0" borderId="0">
      <protection locked="0"/>
    </xf>
    <xf numFmtId="173" fontId="25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38" fontId="13" fillId="2" borderId="0" applyNumberFormat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10" fontId="13" fillId="7" borderId="1" applyNumberFormat="0" applyBorder="0" applyAlignment="0" applyProtection="0"/>
    <xf numFmtId="0" fontId="7" fillId="0" borderId="0">
      <alignment horizontal="centerContinuous" vertical="justify"/>
    </xf>
    <xf numFmtId="0" fontId="29" fillId="0" borderId="0" applyAlignment="0">
      <alignment horizontal="center"/>
    </xf>
    <xf numFmtId="44" fontId="11" fillId="0" borderId="0" applyFont="0" applyFill="0" applyBorder="0" applyAlignment="0" applyProtection="0"/>
    <xf numFmtId="174" fontId="30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horizontal="left" vertical="center" indent="12"/>
    </xf>
    <xf numFmtId="0" fontId="13" fillId="0" borderId="9" applyBorder="0">
      <alignment horizontal="left" vertical="center" wrapText="1" indent="2"/>
      <protection locked="0"/>
    </xf>
    <xf numFmtId="0" fontId="13" fillId="0" borderId="9" applyBorder="0">
      <alignment horizontal="left" vertical="center" wrapText="1" indent="3"/>
      <protection locked="0"/>
    </xf>
    <xf numFmtId="10" fontId="7" fillId="0" borderId="0" applyFont="0" applyFill="0" applyBorder="0" applyAlignment="0" applyProtection="0"/>
    <xf numFmtId="175" fontId="25" fillId="0" borderId="0">
      <protection locked="0"/>
    </xf>
    <xf numFmtId="175" fontId="25" fillId="0" borderId="0">
      <protection locked="0"/>
    </xf>
    <xf numFmtId="176" fontId="25" fillId="0" borderId="0">
      <protection locked="0"/>
    </xf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32" fillId="0" borderId="0" applyFont="0" applyFill="0" applyBorder="0" applyAlignment="0" applyProtection="0"/>
    <xf numFmtId="177" fontId="33" fillId="0" borderId="0">
      <protection locked="0"/>
    </xf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2" fillId="0" borderId="0"/>
    <xf numFmtId="0" fontId="34" fillId="0" borderId="0">
      <protection locked="0"/>
    </xf>
    <xf numFmtId="0" fontId="34" fillId="0" borderId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horizontal="centerContinuous" vertical="justify"/>
    </xf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centerContinuous" vertical="justify"/>
    </xf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1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centerContinuous" vertical="justify"/>
    </xf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>
      <alignment horizontal="centerContinuous" vertical="justify"/>
    </xf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38" fillId="0" borderId="0" applyFont="0" applyFill="0" applyBorder="0" applyAlignment="0" applyProtection="0"/>
    <xf numFmtId="9" fontId="50" fillId="0" borderId="0" applyFont="0" applyFill="0" applyBorder="0" applyAlignment="0" applyProtection="0"/>
  </cellStyleXfs>
  <cellXfs count="384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307"/>
    <xf numFmtId="0" fontId="6" fillId="0" borderId="0" xfId="436"/>
    <xf numFmtId="0" fontId="6" fillId="5" borderId="5" xfId="307" applyFill="1" applyBorder="1" applyAlignment="1">
      <alignment horizontal="center"/>
    </xf>
    <xf numFmtId="0" fontId="6" fillId="5" borderId="13" xfId="307" applyFill="1" applyBorder="1" applyAlignment="1">
      <alignment horizontal="center"/>
    </xf>
    <xf numFmtId="0" fontId="6" fillId="0" borderId="2" xfId="307" applyBorder="1" applyAlignment="1">
      <alignment horizontal="center"/>
    </xf>
    <xf numFmtId="0" fontId="6" fillId="0" borderId="2" xfId="307" applyBorder="1"/>
    <xf numFmtId="0" fontId="6" fillId="0" borderId="14" xfId="307" applyBorder="1"/>
    <xf numFmtId="164" fontId="0" fillId="0" borderId="1" xfId="437" applyFont="1" applyBorder="1" applyAlignment="1">
      <alignment horizontal="center"/>
    </xf>
    <xf numFmtId="10" fontId="0" fillId="0" borderId="1" xfId="427" applyNumberFormat="1" applyFont="1" applyBorder="1" applyAlignment="1">
      <alignment horizontal="center"/>
    </xf>
    <xf numFmtId="10" fontId="6" fillId="3" borderId="1" xfId="427" applyNumberFormat="1" applyFont="1" applyFill="1" applyBorder="1"/>
    <xf numFmtId="10" fontId="0" fillId="0" borderId="1" xfId="427" applyNumberFormat="1" applyFont="1" applyBorder="1"/>
    <xf numFmtId="0" fontId="6" fillId="0" borderId="1" xfId="307" applyBorder="1"/>
    <xf numFmtId="0" fontId="6" fillId="0" borderId="9" xfId="307" applyBorder="1"/>
    <xf numFmtId="10" fontId="6" fillId="0" borderId="1" xfId="307" applyNumberFormat="1" applyBorder="1"/>
    <xf numFmtId="0" fontId="8" fillId="0" borderId="1" xfId="307" applyFont="1" applyBorder="1"/>
    <xf numFmtId="164" fontId="0" fillId="0" borderId="1" xfId="427" applyNumberFormat="1" applyFont="1" applyBorder="1" applyAlignment="1">
      <alignment horizontal="center"/>
    </xf>
    <xf numFmtId="164" fontId="6" fillId="0" borderId="1" xfId="307" applyNumberFormat="1" applyBorder="1"/>
    <xf numFmtId="9" fontId="6" fillId="3" borderId="1" xfId="427" applyFont="1" applyFill="1" applyBorder="1"/>
    <xf numFmtId="9" fontId="6" fillId="4" borderId="1" xfId="427" applyFont="1" applyFill="1" applyBorder="1"/>
    <xf numFmtId="9" fontId="0" fillId="0" borderId="1" xfId="427" applyFont="1" applyFill="1" applyBorder="1"/>
    <xf numFmtId="9" fontId="0" fillId="0" borderId="9" xfId="427" applyFont="1" applyBorder="1"/>
    <xf numFmtId="9" fontId="0" fillId="0" borderId="1" xfId="427" applyFont="1" applyBorder="1"/>
    <xf numFmtId="9" fontId="6" fillId="0" borderId="1" xfId="427" applyFont="1" applyFill="1" applyBorder="1"/>
    <xf numFmtId="164" fontId="6" fillId="0" borderId="9" xfId="307" applyNumberFormat="1" applyBorder="1"/>
    <xf numFmtId="9" fontId="6" fillId="3" borderId="9" xfId="427" applyFont="1" applyFill="1" applyBorder="1"/>
    <xf numFmtId="164" fontId="6" fillId="0" borderId="1" xfId="290" applyFont="1" applyBorder="1"/>
    <xf numFmtId="9" fontId="0" fillId="0" borderId="9" xfId="427" applyFont="1" applyFill="1" applyBorder="1"/>
    <xf numFmtId="9" fontId="6" fillId="0" borderId="9" xfId="427" applyFont="1" applyFill="1" applyBorder="1"/>
    <xf numFmtId="9" fontId="37" fillId="3" borderId="9" xfId="427" applyFont="1" applyFill="1" applyBorder="1"/>
    <xf numFmtId="9" fontId="37" fillId="3" borderId="1" xfId="427" applyFont="1" applyFill="1" applyBorder="1"/>
    <xf numFmtId="43" fontId="6" fillId="0" borderId="9" xfId="307" applyNumberFormat="1" applyBorder="1"/>
    <xf numFmtId="43" fontId="6" fillId="0" borderId="1" xfId="307" applyNumberFormat="1" applyBorder="1"/>
    <xf numFmtId="164" fontId="0" fillId="0" borderId="1" xfId="437" applyFont="1" applyBorder="1"/>
    <xf numFmtId="9" fontId="6" fillId="3" borderId="1" xfId="17" applyFont="1" applyFill="1" applyBorder="1"/>
    <xf numFmtId="9" fontId="6" fillId="3" borderId="1" xfId="307" applyNumberFormat="1" applyFill="1" applyBorder="1"/>
    <xf numFmtId="9" fontId="6" fillId="3" borderId="9" xfId="17" applyFont="1" applyFill="1" applyBorder="1"/>
    <xf numFmtId="9" fontId="6" fillId="0" borderId="1" xfId="17" applyFont="1" applyBorder="1"/>
    <xf numFmtId="9" fontId="6" fillId="0" borderId="1" xfId="17" applyFont="1" applyFill="1" applyBorder="1"/>
    <xf numFmtId="164" fontId="0" fillId="0" borderId="0" xfId="437" applyFont="1"/>
    <xf numFmtId="164" fontId="8" fillId="5" borderId="12" xfId="437" applyFont="1" applyFill="1" applyBorder="1"/>
    <xf numFmtId="10" fontId="8" fillId="5" borderId="5" xfId="307" applyNumberFormat="1" applyFont="1" applyFill="1" applyBorder="1"/>
    <xf numFmtId="164" fontId="6" fillId="5" borderId="5" xfId="307" applyNumberFormat="1" applyFill="1" applyBorder="1"/>
    <xf numFmtId="164" fontId="6" fillId="5" borderId="5" xfId="290" applyFont="1" applyFill="1" applyBorder="1"/>
    <xf numFmtId="10" fontId="0" fillId="8" borderId="6" xfId="427" applyNumberFormat="1" applyFont="1" applyFill="1" applyBorder="1"/>
    <xf numFmtId="10" fontId="0" fillId="8" borderId="3" xfId="427" applyNumberFormat="1" applyFont="1" applyFill="1" applyBorder="1"/>
    <xf numFmtId="9" fontId="6" fillId="4" borderId="9" xfId="17" applyFont="1" applyFill="1" applyBorder="1"/>
    <xf numFmtId="43" fontId="6" fillId="4" borderId="1" xfId="307" applyNumberFormat="1" applyFill="1" applyBorder="1"/>
    <xf numFmtId="0" fontId="6" fillId="0" borderId="15" xfId="307" applyBorder="1"/>
    <xf numFmtId="164" fontId="8" fillId="0" borderId="16" xfId="28" applyFont="1" applyFill="1" applyBorder="1" applyAlignment="1">
      <alignment vertical="center"/>
    </xf>
    <xf numFmtId="0" fontId="8" fillId="0" borderId="17" xfId="307" applyFont="1" applyFill="1" applyBorder="1" applyAlignment="1">
      <alignment horizontal="center"/>
    </xf>
    <xf numFmtId="0" fontId="6" fillId="0" borderId="17" xfId="307" applyFont="1" applyFill="1" applyBorder="1" applyAlignment="1">
      <alignment horizontal="left" vertical="center" wrapText="1"/>
    </xf>
    <xf numFmtId="0" fontId="6" fillId="0" borderId="17" xfId="307" applyFont="1" applyFill="1" applyBorder="1" applyAlignment="1">
      <alignment horizontal="center" vertical="center" wrapText="1"/>
    </xf>
    <xf numFmtId="164" fontId="6" fillId="0" borderId="17" xfId="290" applyFont="1" applyFill="1" applyBorder="1" applyAlignment="1">
      <alignment horizontal="center" vertical="center" wrapText="1"/>
    </xf>
    <xf numFmtId="164" fontId="8" fillId="0" borderId="19" xfId="28" applyFont="1" applyFill="1" applyBorder="1" applyAlignment="1">
      <alignment vertical="center"/>
    </xf>
    <xf numFmtId="0" fontId="8" fillId="0" borderId="0" xfId="307" applyFont="1" applyFill="1" applyBorder="1" applyAlignment="1">
      <alignment horizontal="center"/>
    </xf>
    <xf numFmtId="0" fontId="6" fillId="0" borderId="0" xfId="307" applyFont="1" applyFill="1" applyBorder="1" applyAlignment="1">
      <alignment horizontal="left" vertical="center" wrapText="1"/>
    </xf>
    <xf numFmtId="0" fontId="6" fillId="0" borderId="0" xfId="307" applyFont="1" applyFill="1" applyBorder="1" applyAlignment="1">
      <alignment horizontal="center" vertical="center" wrapText="1"/>
    </xf>
    <xf numFmtId="164" fontId="6" fillId="0" borderId="0" xfId="290" applyFont="1" applyFill="1" applyBorder="1" applyAlignment="1">
      <alignment horizontal="center" vertical="center" wrapText="1"/>
    </xf>
    <xf numFmtId="164" fontId="6" fillId="0" borderId="0" xfId="28" quotePrefix="1" applyFont="1" applyFill="1" applyBorder="1" applyAlignment="1">
      <alignment vertical="center"/>
    </xf>
    <xf numFmtId="164" fontId="39" fillId="0" borderId="19" xfId="28" applyFont="1" applyFill="1" applyBorder="1" applyAlignment="1">
      <alignment vertical="center"/>
    </xf>
    <xf numFmtId="0" fontId="8" fillId="0" borderId="0" xfId="307" applyFont="1" applyFill="1" applyBorder="1" applyAlignment="1">
      <alignment vertical="center"/>
    </xf>
    <xf numFmtId="0" fontId="6" fillId="0" borderId="0" xfId="307" applyFont="1" applyFill="1" applyBorder="1" applyAlignment="1">
      <alignment vertical="center"/>
    </xf>
    <xf numFmtId="9" fontId="6" fillId="0" borderId="0" xfId="307" applyNumberFormat="1" applyFont="1" applyFill="1" applyBorder="1" applyAlignment="1">
      <alignment vertical="center"/>
    </xf>
    <xf numFmtId="164" fontId="39" fillId="0" borderId="14" xfId="28" applyFont="1" applyFill="1" applyBorder="1" applyAlignment="1">
      <alignment vertical="center"/>
    </xf>
    <xf numFmtId="0" fontId="8" fillId="0" borderId="21" xfId="307" applyFont="1" applyFill="1" applyBorder="1" applyAlignment="1">
      <alignment vertical="center"/>
    </xf>
    <xf numFmtId="0" fontId="6" fillId="0" borderId="21" xfId="307" applyFont="1" applyFill="1" applyBorder="1" applyAlignment="1">
      <alignment vertical="center"/>
    </xf>
    <xf numFmtId="9" fontId="6" fillId="0" borderId="21" xfId="307" applyNumberFormat="1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37" fillId="0" borderId="14" xfId="0" applyFont="1" applyBorder="1"/>
    <xf numFmtId="0" fontId="0" fillId="0" borderId="21" xfId="0" applyBorder="1"/>
    <xf numFmtId="0" fontId="0" fillId="0" borderId="22" xfId="0" applyBorder="1"/>
    <xf numFmtId="0" fontId="0" fillId="0" borderId="19" xfId="0" applyBorder="1"/>
    <xf numFmtId="0" fontId="41" fillId="9" borderId="16" xfId="0" applyFont="1" applyFill="1" applyBorder="1" applyAlignment="1">
      <alignment horizontal="center"/>
    </xf>
    <xf numFmtId="0" fontId="41" fillId="9" borderId="1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2" fillId="5" borderId="19" xfId="0" applyFont="1" applyFill="1" applyBorder="1" applyAlignment="1">
      <alignment horizontal="center"/>
    </xf>
    <xf numFmtId="0" fontId="42" fillId="5" borderId="0" xfId="0" applyFont="1" applyFill="1" applyBorder="1"/>
    <xf numFmtId="44" fontId="42" fillId="5" borderId="20" xfId="1697" applyFont="1" applyFill="1" applyBorder="1"/>
    <xf numFmtId="44" fontId="0" fillId="0" borderId="20" xfId="1697" applyFont="1" applyBorder="1"/>
    <xf numFmtId="0" fontId="4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4" fontId="41" fillId="0" borderId="20" xfId="1697" applyFont="1" applyBorder="1"/>
    <xf numFmtId="0" fontId="6" fillId="0" borderId="0" xfId="0" applyFont="1" applyBorder="1"/>
    <xf numFmtId="0" fontId="21" fillId="4" borderId="18" xfId="0" applyFont="1" applyFill="1" applyBorder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43" fillId="4" borderId="20" xfId="0" applyFont="1" applyFill="1" applyBorder="1" applyAlignment="1">
      <alignment vertical="center"/>
    </xf>
    <xf numFmtId="0" fontId="43" fillId="4" borderId="0" xfId="0" applyFont="1" applyFill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8" fillId="0" borderId="19" xfId="0" applyFont="1" applyBorder="1" applyAlignment="1" applyProtection="1">
      <alignment horizontal="left"/>
    </xf>
    <xf numFmtId="0" fontId="6" fillId="0" borderId="0" xfId="0" applyFont="1" applyBorder="1" applyProtection="1"/>
    <xf numFmtId="0" fontId="6" fillId="0" borderId="20" xfId="0" applyFont="1" applyBorder="1" applyProtection="1"/>
    <xf numFmtId="0" fontId="43" fillId="9" borderId="9" xfId="0" applyFont="1" applyFill="1" applyBorder="1" applyAlignment="1" applyProtection="1">
      <alignment horizontal="left"/>
    </xf>
    <xf numFmtId="0" fontId="43" fillId="9" borderId="7" xfId="0" applyFont="1" applyFill="1" applyBorder="1" applyProtection="1"/>
    <xf numFmtId="0" fontId="43" fillId="9" borderId="7" xfId="0" applyFont="1" applyFill="1" applyBorder="1" applyAlignment="1" applyProtection="1">
      <alignment horizontal="right"/>
    </xf>
    <xf numFmtId="10" fontId="43" fillId="9" borderId="8" xfId="0" applyNumberFormat="1" applyFont="1" applyFill="1" applyBorder="1" applyProtection="1"/>
    <xf numFmtId="0" fontId="6" fillId="0" borderId="19" xfId="0" applyFont="1" applyBorder="1" applyAlignment="1" applyProtection="1">
      <alignment horizontal="fill"/>
    </xf>
    <xf numFmtId="0" fontId="6" fillId="0" borderId="0" xfId="0" applyFont="1" applyBorder="1" applyAlignment="1" applyProtection="1">
      <alignment horizontal="fill"/>
    </xf>
    <xf numFmtId="0" fontId="6" fillId="0" borderId="20" xfId="0" applyFont="1" applyBorder="1" applyAlignment="1" applyProtection="1">
      <alignment horizontal="fill"/>
    </xf>
    <xf numFmtId="0" fontId="8" fillId="3" borderId="19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8" fillId="3" borderId="0" xfId="0" applyFont="1" applyFill="1" applyBorder="1" applyAlignment="1" applyProtection="1">
      <alignment horizontal="left"/>
    </xf>
    <xf numFmtId="10" fontId="6" fillId="3" borderId="0" xfId="0" applyNumberFormat="1" applyFont="1" applyFill="1" applyBorder="1" applyProtection="1"/>
    <xf numFmtId="10" fontId="6" fillId="3" borderId="20" xfId="0" applyNumberFormat="1" applyFont="1" applyFill="1" applyBorder="1" applyProtection="1"/>
    <xf numFmtId="0" fontId="6" fillId="4" borderId="19" xfId="0" applyFont="1" applyFill="1" applyBorder="1" applyProtection="1"/>
    <xf numFmtId="0" fontId="6" fillId="4" borderId="0" xfId="0" applyFont="1" applyFill="1" applyBorder="1" applyProtection="1"/>
    <xf numFmtId="10" fontId="6" fillId="4" borderId="0" xfId="0" applyNumberFormat="1" applyFont="1" applyFill="1" applyBorder="1" applyProtection="1"/>
    <xf numFmtId="10" fontId="6" fillId="4" borderId="20" xfId="0" applyNumberFormat="1" applyFont="1" applyFill="1" applyBorder="1" applyProtection="1"/>
    <xf numFmtId="0" fontId="8" fillId="4" borderId="0" xfId="0" applyFont="1" applyFill="1" applyBorder="1" applyAlignment="1" applyProtection="1">
      <alignment horizontal="left"/>
    </xf>
    <xf numFmtId="10" fontId="8" fillId="4" borderId="0" xfId="0" applyNumberFormat="1" applyFont="1" applyFill="1" applyBorder="1" applyProtection="1"/>
    <xf numFmtId="0" fontId="6" fillId="4" borderId="19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0" fontId="8" fillId="3" borderId="0" xfId="0" applyFont="1" applyFill="1" applyBorder="1" applyProtection="1"/>
    <xf numFmtId="10" fontId="8" fillId="3" borderId="0" xfId="0" applyNumberFormat="1" applyFont="1" applyFill="1" applyBorder="1" applyProtection="1"/>
    <xf numFmtId="10" fontId="8" fillId="3" borderId="20" xfId="0" applyNumberFormat="1" applyFont="1" applyFill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horizontal="left"/>
    </xf>
    <xf numFmtId="0" fontId="8" fillId="0" borderId="1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left" vertical="center"/>
    </xf>
    <xf numFmtId="10" fontId="8" fillId="0" borderId="23" xfId="0" applyNumberFormat="1" applyFont="1" applyBorder="1" applyAlignment="1" applyProtection="1">
      <alignment vertical="center"/>
    </xf>
    <xf numFmtId="0" fontId="6" fillId="4" borderId="19" xfId="0" applyFont="1" applyFill="1" applyBorder="1"/>
    <xf numFmtId="0" fontId="6" fillId="4" borderId="0" xfId="0" applyFont="1" applyFill="1" applyBorder="1"/>
    <xf numFmtId="0" fontId="6" fillId="4" borderId="20" xfId="0" applyFont="1" applyFill="1" applyBorder="1"/>
    <xf numFmtId="10" fontId="6" fillId="4" borderId="0" xfId="0" applyNumberFormat="1" applyFont="1" applyFill="1" applyBorder="1"/>
    <xf numFmtId="0" fontId="6" fillId="4" borderId="21" xfId="0" applyFont="1" applyFill="1" applyBorder="1"/>
    <xf numFmtId="0" fontId="0" fillId="0" borderId="14" xfId="0" applyBorder="1"/>
    <xf numFmtId="0" fontId="6" fillId="0" borderId="19" xfId="0" applyFont="1" applyBorder="1"/>
    <xf numFmtId="0" fontId="39" fillId="0" borderId="0" xfId="0" applyFont="1"/>
    <xf numFmtId="0" fontId="43" fillId="4" borderId="19" xfId="0" applyFont="1" applyFill="1" applyBorder="1" applyAlignment="1">
      <alignment vertical="center"/>
    </xf>
    <xf numFmtId="0" fontId="39" fillId="0" borderId="19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20" xfId="0" applyFont="1" applyBorder="1" applyAlignment="1">
      <alignment horizontal="left"/>
    </xf>
    <xf numFmtId="0" fontId="39" fillId="0" borderId="19" xfId="0" applyFont="1" applyBorder="1" applyAlignment="1">
      <alignment horizontal="center"/>
    </xf>
    <xf numFmtId="0" fontId="39" fillId="0" borderId="0" xfId="0" applyFont="1" applyBorder="1"/>
    <xf numFmtId="0" fontId="39" fillId="0" borderId="20" xfId="0" applyFont="1" applyBorder="1"/>
    <xf numFmtId="0" fontId="39" fillId="0" borderId="0" xfId="0" applyFont="1" applyAlignment="1">
      <alignment horizontal="center"/>
    </xf>
    <xf numFmtId="4" fontId="8" fillId="5" borderId="1" xfId="24" applyNumberFormat="1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4" fontId="8" fillId="0" borderId="1" xfId="24" applyNumberFormat="1" applyFont="1" applyFill="1" applyBorder="1" applyAlignment="1">
      <alignment vertical="center" wrapText="1"/>
    </xf>
    <xf numFmtId="4" fontId="6" fillId="0" borderId="0" xfId="24" applyNumberFormat="1" applyFont="1" applyBorder="1" applyAlignment="1">
      <alignment horizontal="right" vertical="center"/>
    </xf>
    <xf numFmtId="4" fontId="8" fillId="2" borderId="1" xfId="651" applyNumberFormat="1" applyFont="1" applyFill="1" applyBorder="1" applyAlignment="1">
      <alignment vertical="center"/>
    </xf>
    <xf numFmtId="4" fontId="8" fillId="2" borderId="1" xfId="24" applyNumberFormat="1" applyFont="1" applyFill="1" applyBorder="1" applyAlignment="1">
      <alignment vertical="center"/>
    </xf>
    <xf numFmtId="4" fontId="8" fillId="0" borderId="0" xfId="24" applyNumberFormat="1" applyFont="1" applyFill="1" applyBorder="1" applyAlignment="1">
      <alignment horizontal="right" vertical="center" wrapText="1"/>
    </xf>
    <xf numFmtId="4" fontId="8" fillId="0" borderId="0" xfId="24" applyNumberFormat="1" applyFont="1" applyFill="1" applyBorder="1" applyAlignment="1">
      <alignment vertical="center" wrapText="1"/>
    </xf>
    <xf numFmtId="4" fontId="8" fillId="0" borderId="0" xfId="24" applyNumberFormat="1" applyFont="1" applyFill="1" applyBorder="1" applyAlignment="1">
      <alignment horizontal="center" vertical="center"/>
    </xf>
    <xf numFmtId="4" fontId="23" fillId="0" borderId="0" xfId="24" applyNumberFormat="1" applyFont="1" applyFill="1" applyBorder="1" applyAlignment="1">
      <alignment horizontal="center" vertical="center"/>
    </xf>
    <xf numFmtId="4" fontId="0" fillId="0" borderId="0" xfId="0" applyNumberFormat="1" applyBorder="1" applyAlignment="1">
      <alignment vertical="center" wrapText="1"/>
    </xf>
    <xf numFmtId="4" fontId="0" fillId="0" borderId="0" xfId="651" applyNumberFormat="1" applyFont="1" applyBorder="1" applyAlignment="1">
      <alignment vertical="center" wrapText="1"/>
    </xf>
    <xf numFmtId="4" fontId="8" fillId="0" borderId="0" xfId="24" applyNumberFormat="1" applyFont="1" applyBorder="1" applyAlignment="1">
      <alignment horizontal="right" vertical="center"/>
    </xf>
    <xf numFmtId="4" fontId="6" fillId="5" borderId="7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right" vertical="center"/>
    </xf>
    <xf numFmtId="0" fontId="8" fillId="5" borderId="1" xfId="307" applyNumberFormat="1" applyFont="1" applyFill="1" applyBorder="1"/>
    <xf numFmtId="0" fontId="0" fillId="0" borderId="1" xfId="0" applyBorder="1"/>
    <xf numFmtId="0" fontId="6" fillId="0" borderId="0" xfId="307" applyBorder="1"/>
    <xf numFmtId="164" fontId="0" fillId="0" borderId="0" xfId="437" applyFont="1" applyBorder="1"/>
    <xf numFmtId="0" fontId="6" fillId="0" borderId="29" xfId="307" applyBorder="1"/>
    <xf numFmtId="164" fontId="0" fillId="0" borderId="29" xfId="437" applyFont="1" applyBorder="1"/>
    <xf numFmtId="4" fontId="48" fillId="0" borderId="30" xfId="0" applyNumberFormat="1" applyFont="1" applyBorder="1" applyAlignment="1">
      <alignment horizontal="center" vertical="center"/>
    </xf>
    <xf numFmtId="4" fontId="0" fillId="0" borderId="30" xfId="0" applyNumberFormat="1" applyBorder="1" applyAlignment="1">
      <alignment horizontal="left" vertical="top"/>
    </xf>
    <xf numFmtId="4" fontId="7" fillId="0" borderId="0" xfId="0" applyNumberFormat="1" applyFont="1" applyAlignment="1">
      <alignment vertical="center"/>
    </xf>
    <xf numFmtId="4" fontId="8" fillId="5" borderId="35" xfId="12" applyNumberFormat="1" applyFont="1" applyFill="1" applyBorder="1" applyAlignment="1">
      <alignment horizontal="center" vertical="center" wrapText="1"/>
    </xf>
    <xf numFmtId="4" fontId="8" fillId="5" borderId="36" xfId="12" applyNumberFormat="1" applyFont="1" applyFill="1" applyBorder="1" applyAlignment="1">
      <alignment horizontal="center" vertical="center" wrapText="1"/>
    </xf>
    <xf numFmtId="4" fontId="8" fillId="5" borderId="1" xfId="12" applyNumberFormat="1" applyFont="1" applyFill="1" applyBorder="1" applyAlignment="1">
      <alignment horizontal="center" vertical="center" wrapText="1"/>
    </xf>
    <xf numFmtId="4" fontId="8" fillId="4" borderId="3" xfId="12" applyNumberFormat="1" applyFont="1" applyFill="1" applyBorder="1" applyAlignment="1">
      <alignment horizontal="center" vertical="center" wrapText="1"/>
    </xf>
    <xf numFmtId="4" fontId="8" fillId="4" borderId="19" xfId="12" applyNumberFormat="1" applyFont="1" applyFill="1" applyBorder="1" applyAlignment="1">
      <alignment horizontal="center" vertical="center" wrapText="1"/>
    </xf>
    <xf numFmtId="4" fontId="48" fillId="0" borderId="40" xfId="0" applyNumberFormat="1" applyFont="1" applyBorder="1" applyAlignment="1">
      <alignment horizontal="center" vertical="center"/>
    </xf>
    <xf numFmtId="4" fontId="48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16" xfId="28" applyNumberFormat="1" applyFont="1" applyFill="1" applyBorder="1" applyAlignment="1">
      <alignment vertical="center"/>
    </xf>
    <xf numFmtId="4" fontId="8" fillId="0" borderId="17" xfId="307" applyNumberFormat="1" applyFont="1" applyFill="1" applyBorder="1" applyAlignment="1">
      <alignment horizontal="center" wrapText="1"/>
    </xf>
    <xf numFmtId="4" fontId="8" fillId="0" borderId="17" xfId="307" applyNumberFormat="1" applyFont="1" applyFill="1" applyBorder="1" applyAlignment="1">
      <alignment horizontal="center"/>
    </xf>
    <xf numFmtId="4" fontId="6" fillId="0" borderId="17" xfId="307" applyNumberFormat="1" applyFont="1" applyFill="1" applyBorder="1" applyAlignment="1">
      <alignment horizontal="left" vertical="center" wrapText="1"/>
    </xf>
    <xf numFmtId="4" fontId="6" fillId="0" borderId="17" xfId="307" applyNumberFormat="1" applyFont="1" applyFill="1" applyBorder="1" applyAlignment="1">
      <alignment horizontal="center" vertical="center" wrapText="1"/>
    </xf>
    <xf numFmtId="4" fontId="6" fillId="0" borderId="18" xfId="290" applyNumberFormat="1" applyFont="1" applyFill="1" applyBorder="1" applyAlignment="1">
      <alignment horizontal="center" vertical="center" wrapText="1"/>
    </xf>
    <xf numFmtId="4" fontId="8" fillId="0" borderId="19" xfId="28" applyNumberFormat="1" applyFont="1" applyFill="1" applyBorder="1" applyAlignment="1">
      <alignment vertical="center"/>
    </xf>
    <xf numFmtId="4" fontId="8" fillId="0" borderId="0" xfId="307" applyNumberFormat="1" applyFont="1" applyFill="1" applyBorder="1" applyAlignment="1">
      <alignment horizontal="center" wrapText="1"/>
    </xf>
    <xf numFmtId="4" fontId="8" fillId="0" borderId="0" xfId="307" applyNumberFormat="1" applyFont="1" applyFill="1" applyBorder="1" applyAlignment="1">
      <alignment horizontal="center"/>
    </xf>
    <xf numFmtId="4" fontId="6" fillId="0" borderId="0" xfId="307" applyNumberFormat="1" applyFont="1" applyFill="1" applyBorder="1" applyAlignment="1">
      <alignment horizontal="left" vertical="center" wrapText="1"/>
    </xf>
    <xf numFmtId="4" fontId="6" fillId="0" borderId="0" xfId="307" applyNumberFormat="1" applyFont="1" applyFill="1" applyBorder="1" applyAlignment="1">
      <alignment horizontal="center" vertical="center" wrapText="1"/>
    </xf>
    <xf numFmtId="4" fontId="6" fillId="0" borderId="20" xfId="290" applyNumberFormat="1" applyFont="1" applyFill="1" applyBorder="1" applyAlignment="1">
      <alignment horizontal="center" vertical="center" wrapText="1"/>
    </xf>
    <xf numFmtId="4" fontId="6" fillId="0" borderId="20" xfId="28" quotePrefix="1" applyNumberFormat="1" applyFont="1" applyFill="1" applyBorder="1" applyAlignment="1">
      <alignment vertical="center"/>
    </xf>
    <xf numFmtId="4" fontId="39" fillId="0" borderId="19" xfId="28" applyNumberFormat="1" applyFont="1" applyFill="1" applyBorder="1" applyAlignment="1">
      <alignment vertical="center"/>
    </xf>
    <xf numFmtId="4" fontId="39" fillId="0" borderId="14" xfId="28" applyNumberFormat="1" applyFont="1" applyFill="1" applyBorder="1" applyAlignment="1">
      <alignment vertical="center"/>
    </xf>
    <xf numFmtId="4" fontId="8" fillId="0" borderId="21" xfId="307" applyNumberFormat="1" applyFont="1" applyFill="1" applyBorder="1" applyAlignment="1">
      <alignment vertical="center" wrapText="1"/>
    </xf>
    <xf numFmtId="4" fontId="8" fillId="0" borderId="21" xfId="307" applyNumberFormat="1" applyFont="1" applyFill="1" applyBorder="1" applyAlignment="1">
      <alignment vertical="center"/>
    </xf>
    <xf numFmtId="4" fontId="6" fillId="0" borderId="21" xfId="307" applyNumberFormat="1" applyFont="1" applyFill="1" applyBorder="1" applyAlignment="1">
      <alignment vertical="center"/>
    </xf>
    <xf numFmtId="4" fontId="6" fillId="0" borderId="22" xfId="307" applyNumberFormat="1" applyFont="1" applyFill="1" applyBorder="1" applyAlignment="1">
      <alignment vertical="center"/>
    </xf>
    <xf numFmtId="4" fontId="8" fillId="0" borderId="0" xfId="12" applyNumberFormat="1" applyFont="1" applyFill="1" applyBorder="1" applyAlignment="1">
      <alignment horizontal="center"/>
    </xf>
    <xf numFmtId="4" fontId="8" fillId="0" borderId="0" xfId="12" applyNumberFormat="1" applyFont="1" applyFill="1" applyBorder="1" applyAlignment="1">
      <alignment horizontal="left" vertical="center" wrapText="1"/>
    </xf>
    <xf numFmtId="4" fontId="8" fillId="0" borderId="0" xfId="12" applyNumberFormat="1" applyFont="1" applyFill="1" applyBorder="1" applyAlignment="1">
      <alignment horizontal="center" vertical="center"/>
    </xf>
    <xf numFmtId="4" fontId="8" fillId="0" borderId="0" xfId="31" applyNumberFormat="1" applyFont="1" applyFill="1" applyBorder="1" applyAlignment="1">
      <alignment horizontal="center" vertical="center"/>
    </xf>
    <xf numFmtId="4" fontId="8" fillId="0" borderId="0" xfId="31" applyNumberFormat="1" applyFont="1" applyFill="1" applyBorder="1" applyAlignment="1">
      <alignment vertical="center"/>
    </xf>
    <xf numFmtId="4" fontId="8" fillId="0" borderId="0" xfId="24" applyNumberFormat="1" applyFont="1" applyFill="1" applyBorder="1" applyAlignment="1">
      <alignment vertical="center"/>
    </xf>
    <xf numFmtId="4" fontId="8" fillId="5" borderId="34" xfId="12" applyNumberFormat="1" applyFont="1" applyFill="1" applyBorder="1" applyAlignment="1">
      <alignment horizontal="center" vertical="center"/>
    </xf>
    <xf numFmtId="4" fontId="8" fillId="5" borderId="35" xfId="31" applyNumberFormat="1" applyFont="1" applyFill="1" applyBorder="1" applyAlignment="1">
      <alignment horizontal="center" vertical="center" wrapText="1"/>
    </xf>
    <xf numFmtId="4" fontId="8" fillId="4" borderId="20" xfId="12" applyNumberFormat="1" applyFont="1" applyFill="1" applyBorder="1" applyAlignment="1">
      <alignment horizontal="center" vertical="center"/>
    </xf>
    <xf numFmtId="4" fontId="8" fillId="4" borderId="3" xfId="31" applyNumberFormat="1" applyFont="1" applyFill="1" applyBorder="1" applyAlignment="1">
      <alignment horizontal="center" vertical="center" wrapText="1"/>
    </xf>
    <xf numFmtId="4" fontId="8" fillId="5" borderId="1" xfId="12" applyNumberFormat="1" applyFont="1" applyFill="1" applyBorder="1" applyAlignment="1">
      <alignment horizontal="center" vertical="center"/>
    </xf>
    <xf numFmtId="4" fontId="8" fillId="5" borderId="1" xfId="12" applyNumberFormat="1" applyFont="1" applyFill="1" applyBorder="1" applyAlignment="1">
      <alignment horizontal="left" vertical="center" wrapText="1"/>
    </xf>
    <xf numFmtId="4" fontId="8" fillId="5" borderId="1" xfId="31" applyNumberFormat="1" applyFont="1" applyFill="1" applyBorder="1" applyAlignment="1">
      <alignment horizontal="center" vertical="center" wrapText="1"/>
    </xf>
    <xf numFmtId="4" fontId="47" fillId="0" borderId="30" xfId="0" applyNumberFormat="1" applyFont="1" applyBorder="1" applyAlignment="1">
      <alignment horizontal="left" vertical="center" wrapText="1"/>
    </xf>
    <xf numFmtId="4" fontId="48" fillId="0" borderId="30" xfId="0" applyNumberFormat="1" applyFont="1" applyBorder="1" applyAlignment="1">
      <alignment horizontal="center" vertical="top"/>
    </xf>
    <xf numFmtId="4" fontId="48" fillId="0" borderId="30" xfId="0" applyNumberFormat="1" applyFont="1" applyBorder="1" applyAlignment="1">
      <alignment horizontal="left" vertical="center" wrapText="1"/>
    </xf>
    <xf numFmtId="4" fontId="47" fillId="0" borderId="30" xfId="0" applyNumberFormat="1" applyFont="1" applyBorder="1" applyAlignment="1">
      <alignment horizontal="center" vertical="top"/>
    </xf>
    <xf numFmtId="4" fontId="8" fillId="0" borderId="0" xfId="0" applyNumberFormat="1" applyFont="1" applyAlignment="1">
      <alignment vertical="center"/>
    </xf>
    <xf numFmtId="4" fontId="8" fillId="2" borderId="1" xfId="307" applyNumberFormat="1" applyFont="1" applyFill="1" applyBorder="1" applyAlignment="1">
      <alignment vertical="center" wrapText="1"/>
    </xf>
    <xf numFmtId="4" fontId="8" fillId="2" borderId="1" xfId="307" applyNumberFormat="1" applyFont="1" applyFill="1" applyBorder="1" applyAlignment="1">
      <alignment vertical="center"/>
    </xf>
    <xf numFmtId="4" fontId="48" fillId="0" borderId="40" xfId="0" applyNumberFormat="1" applyFont="1" applyBorder="1" applyAlignment="1">
      <alignment horizontal="center" vertical="top"/>
    </xf>
    <xf numFmtId="4" fontId="48" fillId="0" borderId="40" xfId="0" applyNumberFormat="1" applyFont="1" applyBorder="1" applyAlignment="1">
      <alignment horizontal="left" vertical="center" wrapText="1"/>
    </xf>
    <xf numFmtId="4" fontId="48" fillId="0" borderId="0" xfId="0" applyNumberFormat="1" applyFont="1" applyBorder="1" applyAlignment="1">
      <alignment vertical="top"/>
    </xf>
    <xf numFmtId="4" fontId="48" fillId="0" borderId="30" xfId="0" applyNumberFormat="1" applyFont="1" applyBorder="1" applyAlignment="1">
      <alignment vertical="top"/>
    </xf>
    <xf numFmtId="4" fontId="47" fillId="0" borderId="33" xfId="0" applyNumberFormat="1" applyFont="1" applyBorder="1" applyAlignment="1">
      <alignment horizontal="left" vertical="top"/>
    </xf>
    <xf numFmtId="4" fontId="7" fillId="0" borderId="0" xfId="0" applyNumberFormat="1" applyFont="1" applyFill="1" applyAlignment="1">
      <alignment vertical="center"/>
    </xf>
    <xf numFmtId="4" fontId="8" fillId="0" borderId="9" xfId="0" applyNumberFormat="1" applyFont="1" applyFill="1" applyBorder="1" applyAlignment="1">
      <alignment vertical="center" wrapText="1"/>
    </xf>
    <xf numFmtId="4" fontId="48" fillId="0" borderId="30" xfId="0" applyNumberFormat="1" applyFont="1" applyBorder="1" applyAlignment="1">
      <alignment horizontal="center" vertical="top" wrapText="1"/>
    </xf>
    <xf numFmtId="4" fontId="48" fillId="0" borderId="3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23" fillId="0" borderId="0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right" vertical="center" wrapText="1"/>
    </xf>
    <xf numFmtId="4" fontId="8" fillId="5" borderId="9" xfId="0" applyNumberFormat="1" applyFont="1" applyFill="1" applyBorder="1" applyAlignment="1">
      <alignment horizontal="right" vertical="center"/>
    </xf>
    <xf numFmtId="4" fontId="6" fillId="5" borderId="7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left" vertical="center" wrapText="1"/>
    </xf>
    <xf numFmtId="4" fontId="7" fillId="0" borderId="0" xfId="31" applyNumberFormat="1" applyFont="1" applyAlignment="1">
      <alignment horizontal="right" vertical="center"/>
    </xf>
    <xf numFmtId="4" fontId="8" fillId="0" borderId="38" xfId="0" applyNumberFormat="1" applyFont="1" applyFill="1" applyBorder="1" applyAlignment="1">
      <alignment horizontal="right" vertical="center" wrapText="1"/>
    </xf>
    <xf numFmtId="4" fontId="8" fillId="0" borderId="38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48" fillId="0" borderId="37" xfId="0" applyNumberFormat="1" applyFont="1" applyBorder="1" applyAlignment="1">
      <alignment horizontal="center" vertical="center"/>
    </xf>
    <xf numFmtId="4" fontId="48" fillId="0" borderId="1" xfId="0" applyNumberFormat="1" applyFont="1" applyBorder="1" applyAlignment="1">
      <alignment horizontal="center" vertical="top"/>
    </xf>
    <xf numFmtId="4" fontId="48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4" fontId="8" fillId="0" borderId="44" xfId="0" applyNumberFormat="1" applyFont="1" applyFill="1" applyBorder="1" applyAlignment="1">
      <alignment horizontal="right" vertical="center" wrapText="1"/>
    </xf>
    <xf numFmtId="3" fontId="8" fillId="2" borderId="1" xfId="307" applyNumberFormat="1" applyFont="1" applyFill="1" applyBorder="1" applyAlignment="1">
      <alignment horizontal="center" vertical="center"/>
    </xf>
    <xf numFmtId="3" fontId="47" fillId="0" borderId="30" xfId="0" applyNumberFormat="1" applyFont="1" applyBorder="1" applyAlignment="1">
      <alignment horizontal="center" vertical="top"/>
    </xf>
    <xf numFmtId="3" fontId="49" fillId="0" borderId="0" xfId="0" applyNumberFormat="1" applyFont="1" applyAlignment="1">
      <alignment horizontal="center" vertical="center"/>
    </xf>
    <xf numFmtId="4" fontId="47" fillId="0" borderId="31" xfId="0" applyNumberFormat="1" applyFont="1" applyBorder="1" applyAlignment="1">
      <alignment vertical="top"/>
    </xf>
    <xf numFmtId="4" fontId="47" fillId="0" borderId="32" xfId="0" applyNumberFormat="1" applyFont="1" applyBorder="1" applyAlignment="1">
      <alignment vertical="top"/>
    </xf>
    <xf numFmtId="4" fontId="47" fillId="0" borderId="33" xfId="0" applyNumberFormat="1" applyFont="1" applyBorder="1" applyAlignment="1">
      <alignment vertical="top"/>
    </xf>
    <xf numFmtId="4" fontId="8" fillId="0" borderId="9" xfId="12" applyNumberFormat="1" applyFont="1" applyFill="1" applyBorder="1" applyAlignment="1">
      <alignment vertical="center"/>
    </xf>
    <xf numFmtId="4" fontId="8" fillId="0" borderId="7" xfId="12" applyNumberFormat="1" applyFont="1" applyFill="1" applyBorder="1" applyAlignment="1">
      <alignment vertical="center"/>
    </xf>
    <xf numFmtId="4" fontId="8" fillId="0" borderId="8" xfId="12" applyNumberFormat="1" applyFont="1" applyFill="1" applyBorder="1" applyAlignment="1">
      <alignment vertical="center"/>
    </xf>
    <xf numFmtId="4" fontId="42" fillId="5" borderId="19" xfId="0" applyNumberFormat="1" applyFont="1" applyFill="1" applyBorder="1" applyAlignment="1">
      <alignment horizontal="center"/>
    </xf>
    <xf numFmtId="4" fontId="42" fillId="5" borderId="0" xfId="0" applyNumberFormat="1" applyFont="1" applyFill="1" applyBorder="1"/>
    <xf numFmtId="3" fontId="42" fillId="5" borderId="19" xfId="0" applyNumberFormat="1" applyFont="1" applyFill="1" applyBorder="1" applyAlignment="1">
      <alignment horizontal="center"/>
    </xf>
    <xf numFmtId="4" fontId="8" fillId="5" borderId="1" xfId="307" applyNumberFormat="1" applyFont="1" applyFill="1" applyBorder="1"/>
    <xf numFmtId="4" fontId="8" fillId="0" borderId="38" xfId="0" applyNumberFormat="1" applyFont="1" applyFill="1" applyBorder="1" applyAlignment="1">
      <alignment horizontal="right" vertical="center" wrapText="1"/>
    </xf>
    <xf numFmtId="10" fontId="6" fillId="0" borderId="22" xfId="1698" applyNumberFormat="1" applyFont="1" applyFill="1" applyBorder="1" applyAlignment="1">
      <alignment vertical="center"/>
    </xf>
    <xf numFmtId="4" fontId="43" fillId="4" borderId="19" xfId="0" applyNumberFormat="1" applyFont="1" applyFill="1" applyBorder="1" applyAlignment="1">
      <alignment vertical="center"/>
    </xf>
    <xf numFmtId="4" fontId="37" fillId="0" borderId="19" xfId="0" applyNumberFormat="1" applyFont="1" applyBorder="1"/>
    <xf numFmtId="10" fontId="6" fillId="0" borderId="0" xfId="307" applyNumberFormat="1"/>
    <xf numFmtId="164" fontId="6" fillId="0" borderId="0" xfId="307" applyNumberFormat="1"/>
    <xf numFmtId="4" fontId="47" fillId="0" borderId="41" xfId="0" applyNumberFormat="1" applyFont="1" applyBorder="1" applyAlignment="1">
      <alignment vertical="top"/>
    </xf>
    <xf numFmtId="4" fontId="47" fillId="0" borderId="42" xfId="0" applyNumberFormat="1" applyFont="1" applyBorder="1" applyAlignment="1">
      <alignment vertical="top"/>
    </xf>
    <xf numFmtId="4" fontId="47" fillId="0" borderId="43" xfId="0" applyNumberFormat="1" applyFont="1" applyBorder="1" applyAlignment="1">
      <alignment vertical="top"/>
    </xf>
    <xf numFmtId="4" fontId="48" fillId="0" borderId="30" xfId="0" applyNumberFormat="1" applyFont="1" applyFill="1" applyBorder="1" applyAlignment="1">
      <alignment horizontal="center" vertical="top"/>
    </xf>
    <xf numFmtId="4" fontId="48" fillId="0" borderId="30" xfId="0" applyNumberFormat="1" applyFont="1" applyFill="1" applyBorder="1" applyAlignment="1">
      <alignment horizontal="left" vertical="center" wrapText="1"/>
    </xf>
    <xf numFmtId="4" fontId="48" fillId="0" borderId="30" xfId="0" applyNumberFormat="1" applyFont="1" applyFill="1" applyBorder="1" applyAlignment="1">
      <alignment horizontal="center" vertical="center"/>
    </xf>
    <xf numFmtId="3" fontId="47" fillId="0" borderId="30" xfId="0" applyNumberFormat="1" applyFont="1" applyFill="1" applyBorder="1" applyAlignment="1">
      <alignment horizontal="center" vertical="top"/>
    </xf>
    <xf numFmtId="4" fontId="47" fillId="0" borderId="33" xfId="0" applyNumberFormat="1" applyFont="1" applyFill="1" applyBorder="1" applyAlignment="1">
      <alignment horizontal="left" vertical="top"/>
    </xf>
    <xf numFmtId="4" fontId="48" fillId="0" borderId="30" xfId="0" applyNumberFormat="1" applyFont="1" applyFill="1" applyBorder="1" applyAlignment="1">
      <alignment horizontal="center" vertical="top" wrapText="1"/>
    </xf>
    <xf numFmtId="4" fontId="48" fillId="0" borderId="30" xfId="0" applyNumberFormat="1" applyFont="1" applyFill="1" applyBorder="1" applyAlignment="1">
      <alignment horizontal="center" vertical="center" wrapText="1"/>
    </xf>
    <xf numFmtId="0" fontId="8" fillId="11" borderId="49" xfId="0" applyFont="1" applyFill="1" applyBorder="1" applyAlignment="1">
      <alignment horizontal="center" vertical="center" wrapText="1"/>
    </xf>
    <xf numFmtId="0" fontId="8" fillId="11" borderId="50" xfId="0" applyFont="1" applyFill="1" applyBorder="1" applyAlignment="1">
      <alignment horizontal="center" vertical="center" wrapText="1"/>
    </xf>
    <xf numFmtId="0" fontId="37" fillId="4" borderId="48" xfId="0" applyFont="1" applyFill="1" applyBorder="1" applyAlignment="1">
      <alignment horizontal="center" vertical="top"/>
    </xf>
    <xf numFmtId="0" fontId="37" fillId="4" borderId="49" xfId="0" applyFont="1" applyFill="1" applyBorder="1" applyAlignment="1">
      <alignment horizontal="left" vertical="top"/>
    </xf>
    <xf numFmtId="10" fontId="37" fillId="4" borderId="49" xfId="0" applyNumberFormat="1" applyFont="1" applyFill="1" applyBorder="1" applyAlignment="1">
      <alignment horizontal="center" vertical="top"/>
    </xf>
    <xf numFmtId="10" fontId="37" fillId="4" borderId="50" xfId="0" applyNumberFormat="1" applyFont="1" applyFill="1" applyBorder="1" applyAlignment="1">
      <alignment horizontal="center" vertical="top"/>
    </xf>
    <xf numFmtId="0" fontId="42" fillId="4" borderId="48" xfId="0" applyFont="1" applyFill="1" applyBorder="1" applyAlignment="1">
      <alignment horizontal="center" vertical="top"/>
    </xf>
    <xf numFmtId="0" fontId="42" fillId="4" borderId="49" xfId="0" applyFont="1" applyFill="1" applyBorder="1" applyAlignment="1">
      <alignment horizontal="center" vertical="top"/>
    </xf>
    <xf numFmtId="10" fontId="42" fillId="4" borderId="49" xfId="0" applyNumberFormat="1" applyFont="1" applyFill="1" applyBorder="1" applyAlignment="1">
      <alignment horizontal="center" vertical="top"/>
    </xf>
    <xf numFmtId="10" fontId="42" fillId="4" borderId="50" xfId="0" applyNumberFormat="1" applyFont="1" applyFill="1" applyBorder="1" applyAlignment="1">
      <alignment horizontal="center" vertical="top"/>
    </xf>
    <xf numFmtId="0" fontId="37" fillId="4" borderId="50" xfId="0" applyFont="1" applyFill="1" applyBorder="1" applyAlignment="1">
      <alignment horizontal="center" vertical="top"/>
    </xf>
    <xf numFmtId="0" fontId="37" fillId="4" borderId="48" xfId="0" applyFont="1" applyFill="1" applyBorder="1" applyAlignment="1">
      <alignment horizontal="center" vertical="center" wrapText="1"/>
    </xf>
    <xf numFmtId="0" fontId="37" fillId="4" borderId="49" xfId="0" applyFont="1" applyFill="1" applyBorder="1" applyAlignment="1">
      <alignment horizontal="left" vertical="center" wrapText="1"/>
    </xf>
    <xf numFmtId="10" fontId="37" fillId="4" borderId="49" xfId="0" applyNumberFormat="1" applyFont="1" applyFill="1" applyBorder="1" applyAlignment="1">
      <alignment horizontal="center" vertical="center" wrapText="1"/>
    </xf>
    <xf numFmtId="10" fontId="37" fillId="4" borderId="50" xfId="0" applyNumberFormat="1" applyFont="1" applyFill="1" applyBorder="1" applyAlignment="1">
      <alignment horizontal="center" vertical="center" wrapText="1"/>
    </xf>
    <xf numFmtId="10" fontId="42" fillId="4" borderId="52" xfId="0" applyNumberFormat="1" applyFont="1" applyFill="1" applyBorder="1" applyAlignment="1">
      <alignment horizontal="center" vertical="top"/>
    </xf>
    <xf numFmtId="10" fontId="42" fillId="4" borderId="53" xfId="0" applyNumberFormat="1" applyFont="1" applyFill="1" applyBorder="1" applyAlignment="1">
      <alignment horizontal="center" vertical="top"/>
    </xf>
    <xf numFmtId="4" fontId="8" fillId="0" borderId="17" xfId="28" applyNumberFormat="1" applyFont="1" applyFill="1" applyBorder="1" applyAlignment="1">
      <alignment vertical="center"/>
    </xf>
    <xf numFmtId="4" fontId="8" fillId="0" borderId="0" xfId="28" applyNumberFormat="1" applyFont="1" applyFill="1" applyBorder="1" applyAlignment="1">
      <alignment vertical="center"/>
    </xf>
    <xf numFmtId="4" fontId="39" fillId="0" borderId="0" xfId="28" applyNumberFormat="1" applyFont="1" applyFill="1" applyBorder="1" applyAlignment="1">
      <alignment vertical="center"/>
    </xf>
    <xf numFmtId="4" fontId="39" fillId="0" borderId="21" xfId="28" applyNumberFormat="1" applyFont="1" applyFill="1" applyBorder="1" applyAlignment="1">
      <alignment vertical="center"/>
    </xf>
    <xf numFmtId="4" fontId="8" fillId="5" borderId="25" xfId="12" applyNumberFormat="1" applyFont="1" applyFill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3" fontId="47" fillId="0" borderId="54" xfId="0" applyNumberFormat="1" applyFont="1" applyBorder="1" applyAlignment="1">
      <alignment horizontal="center" vertical="top"/>
    </xf>
    <xf numFmtId="3" fontId="47" fillId="0" borderId="31" xfId="0" applyNumberFormat="1" applyFont="1" applyBorder="1" applyAlignment="1">
      <alignment horizontal="center" vertical="top"/>
    </xf>
    <xf numFmtId="4" fontId="7" fillId="0" borderId="21" xfId="0" applyNumberFormat="1" applyFont="1" applyBorder="1" applyAlignment="1">
      <alignment horizontal="center" vertical="center"/>
    </xf>
    <xf numFmtId="3" fontId="47" fillId="0" borderId="31" xfId="0" applyNumberFormat="1" applyFont="1" applyFill="1" applyBorder="1" applyAlignment="1">
      <alignment horizontal="center" vertical="top"/>
    </xf>
    <xf numFmtId="4" fontId="8" fillId="5" borderId="7" xfId="0" applyNumberFormat="1" applyFont="1" applyFill="1" applyBorder="1" applyAlignment="1">
      <alignment horizontal="right" vertical="center"/>
    </xf>
    <xf numFmtId="0" fontId="6" fillId="0" borderId="19" xfId="307" applyBorder="1"/>
    <xf numFmtId="0" fontId="6" fillId="0" borderId="20" xfId="307" applyBorder="1"/>
    <xf numFmtId="0" fontId="6" fillId="5" borderId="23" xfId="307" applyFill="1" applyBorder="1" applyAlignment="1">
      <alignment horizontal="center"/>
    </xf>
    <xf numFmtId="0" fontId="6" fillId="0" borderId="1" xfId="307" applyBorder="1" applyAlignment="1">
      <alignment horizontal="center"/>
    </xf>
    <xf numFmtId="4" fontId="6" fillId="0" borderId="1" xfId="307" applyNumberFormat="1" applyBorder="1" applyAlignment="1">
      <alignment horizontal="center"/>
    </xf>
    <xf numFmtId="3" fontId="6" fillId="0" borderId="1" xfId="307" applyNumberFormat="1" applyBorder="1" applyAlignment="1">
      <alignment horizontal="center"/>
    </xf>
    <xf numFmtId="9" fontId="6" fillId="4" borderId="1" xfId="17" applyFont="1" applyFill="1" applyBorder="1"/>
    <xf numFmtId="0" fontId="6" fillId="0" borderId="55" xfId="307" applyBorder="1"/>
    <xf numFmtId="0" fontId="40" fillId="0" borderId="9" xfId="0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1" fillId="9" borderId="17" xfId="0" applyFont="1" applyFill="1" applyBorder="1" applyAlignment="1">
      <alignment horizontal="center"/>
    </xf>
    <xf numFmtId="0" fontId="42" fillId="0" borderId="19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20" xfId="0" applyFont="1" applyBorder="1" applyAlignment="1">
      <alignment horizontal="center" wrapText="1"/>
    </xf>
    <xf numFmtId="0" fontId="42" fillId="0" borderId="14" xfId="0" applyFont="1" applyBorder="1" applyAlignment="1">
      <alignment horizontal="center" wrapText="1"/>
    </xf>
    <xf numFmtId="0" fontId="42" fillId="0" borderId="21" xfId="0" applyFont="1" applyBorder="1" applyAlignment="1">
      <alignment horizontal="center" wrapText="1"/>
    </xf>
    <xf numFmtId="0" fontId="42" fillId="0" borderId="22" xfId="0" applyFont="1" applyBorder="1" applyAlignment="1">
      <alignment horizontal="center" wrapText="1"/>
    </xf>
    <xf numFmtId="4" fontId="8" fillId="0" borderId="38" xfId="0" applyNumberFormat="1" applyFont="1" applyFill="1" applyBorder="1" applyAlignment="1">
      <alignment horizontal="right" vertical="center" wrapText="1"/>
    </xf>
    <xf numFmtId="4" fontId="8" fillId="0" borderId="39" xfId="0" applyNumberFormat="1" applyFont="1" applyFill="1" applyBorder="1" applyAlignment="1">
      <alignment horizontal="right" vertical="center" wrapText="1"/>
    </xf>
    <xf numFmtId="4" fontId="8" fillId="0" borderId="14" xfId="0" applyNumberFormat="1" applyFont="1" applyFill="1" applyBorder="1" applyAlignment="1">
      <alignment horizontal="right" vertical="center" wrapText="1"/>
    </xf>
    <xf numFmtId="4" fontId="8" fillId="0" borderId="21" xfId="0" applyNumberFormat="1" applyFont="1" applyFill="1" applyBorder="1" applyAlignment="1">
      <alignment horizontal="right" vertical="center" wrapText="1"/>
    </xf>
    <xf numFmtId="4" fontId="8" fillId="0" borderId="22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47" fillId="0" borderId="31" xfId="0" applyNumberFormat="1" applyFont="1" applyBorder="1" applyAlignment="1">
      <alignment horizontal="left" vertical="top"/>
    </xf>
    <xf numFmtId="4" fontId="47" fillId="0" borderId="32" xfId="0" applyNumberFormat="1" applyFont="1" applyBorder="1" applyAlignment="1">
      <alignment horizontal="left" vertical="top"/>
    </xf>
    <xf numFmtId="4" fontId="47" fillId="0" borderId="33" xfId="0" applyNumberFormat="1" applyFont="1" applyBorder="1" applyAlignment="1">
      <alignment horizontal="left" vertical="top"/>
    </xf>
    <xf numFmtId="4" fontId="47" fillId="0" borderId="31" xfId="0" applyNumberFormat="1" applyFont="1" applyFill="1" applyBorder="1" applyAlignment="1">
      <alignment horizontal="left" vertical="top"/>
    </xf>
    <xf numFmtId="4" fontId="47" fillId="0" borderId="32" xfId="0" applyNumberFormat="1" applyFont="1" applyFill="1" applyBorder="1" applyAlignment="1">
      <alignment horizontal="left" vertical="top"/>
    </xf>
    <xf numFmtId="4" fontId="47" fillId="0" borderId="33" xfId="0" applyNumberFormat="1" applyFont="1" applyFill="1" applyBorder="1" applyAlignment="1">
      <alignment horizontal="left" vertical="top"/>
    </xf>
    <xf numFmtId="0" fontId="8" fillId="0" borderId="13" xfId="436" applyFont="1" applyBorder="1" applyAlignment="1">
      <alignment horizontal="center" vertical="center"/>
    </xf>
    <xf numFmtId="0" fontId="8" fillId="0" borderId="10" xfId="436" applyFont="1" applyBorder="1" applyAlignment="1">
      <alignment horizontal="center" vertical="center"/>
    </xf>
    <xf numFmtId="0" fontId="8" fillId="0" borderId="23" xfId="436" applyFont="1" applyBorder="1" applyAlignment="1">
      <alignment horizontal="center" vertical="center"/>
    </xf>
    <xf numFmtId="0" fontId="6" fillId="5" borderId="13" xfId="307" applyFill="1" applyBorder="1" applyAlignment="1">
      <alignment horizontal="center"/>
    </xf>
    <xf numFmtId="0" fontId="6" fillId="5" borderId="11" xfId="307" applyFill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4" fillId="0" borderId="24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3" fillId="0" borderId="16" xfId="0" applyFont="1" applyBorder="1" applyAlignment="1">
      <alignment horizontal="left"/>
    </xf>
    <xf numFmtId="0" fontId="43" fillId="0" borderId="17" xfId="0" applyFont="1" applyBorder="1" applyAlignment="1">
      <alignment horizontal="left"/>
    </xf>
    <xf numFmtId="0" fontId="43" fillId="0" borderId="18" xfId="0" applyFont="1" applyBorder="1" applyAlignment="1">
      <alignment horizontal="left"/>
    </xf>
    <xf numFmtId="0" fontId="46" fillId="10" borderId="26" xfId="0" applyFont="1" applyFill="1" applyBorder="1" applyAlignment="1">
      <alignment horizontal="center" vertical="top"/>
    </xf>
    <xf numFmtId="0" fontId="46" fillId="10" borderId="27" xfId="0" applyFont="1" applyFill="1" applyBorder="1" applyAlignment="1">
      <alignment horizontal="center" vertical="top"/>
    </xf>
    <xf numFmtId="0" fontId="46" fillId="10" borderId="28" xfId="0" applyFont="1" applyFill="1" applyBorder="1" applyAlignment="1">
      <alignment horizontal="center" vertical="top"/>
    </xf>
    <xf numFmtId="0" fontId="42" fillId="11" borderId="45" xfId="0" applyFont="1" applyFill="1" applyBorder="1" applyAlignment="1">
      <alignment horizontal="center" vertical="center" wrapText="1"/>
    </xf>
    <xf numFmtId="0" fontId="42" fillId="11" borderId="48" xfId="0" applyFont="1" applyFill="1" applyBorder="1" applyAlignment="1">
      <alignment horizontal="center" vertical="center" wrapText="1"/>
    </xf>
    <xf numFmtId="0" fontId="42" fillId="11" borderId="46" xfId="0" applyFont="1" applyFill="1" applyBorder="1" applyAlignment="1">
      <alignment horizontal="left" vertical="center" wrapText="1"/>
    </xf>
    <xf numFmtId="0" fontId="42" fillId="11" borderId="49" xfId="0" applyFont="1" applyFill="1" applyBorder="1" applyAlignment="1">
      <alignment horizontal="left" vertical="center" wrapText="1"/>
    </xf>
    <xf numFmtId="0" fontId="8" fillId="11" borderId="46" xfId="0" applyFont="1" applyFill="1" applyBorder="1" applyAlignment="1">
      <alignment horizontal="center" vertical="center"/>
    </xf>
    <xf numFmtId="0" fontId="8" fillId="11" borderId="47" xfId="0" applyFont="1" applyFill="1" applyBorder="1" applyAlignment="1">
      <alignment horizontal="center" vertical="center"/>
    </xf>
    <xf numFmtId="0" fontId="46" fillId="4" borderId="48" xfId="0" applyFont="1" applyFill="1" applyBorder="1" applyAlignment="1">
      <alignment horizontal="center" vertical="top"/>
    </xf>
    <xf numFmtId="0" fontId="46" fillId="4" borderId="49" xfId="0" applyFont="1" applyFill="1" applyBorder="1" applyAlignment="1">
      <alignment horizontal="center" vertical="top"/>
    </xf>
    <xf numFmtId="0" fontId="46" fillId="4" borderId="50" xfId="0" applyFont="1" applyFill="1" applyBorder="1" applyAlignment="1">
      <alignment horizontal="center" vertical="top"/>
    </xf>
    <xf numFmtId="0" fontId="42" fillId="4" borderId="51" xfId="0" applyFont="1" applyFill="1" applyBorder="1" applyAlignment="1">
      <alignment horizontal="center" vertical="top"/>
    </xf>
    <xf numFmtId="0" fontId="42" fillId="4" borderId="52" xfId="0" applyFont="1" applyFill="1" applyBorder="1" applyAlignment="1">
      <alignment horizontal="center" vertical="top"/>
    </xf>
  </cellXfs>
  <cellStyles count="1699">
    <cellStyle name="_x000d__x000a_JournalTemplate=C:\COMFO\CTALK\JOURSTD.TPL_x000d__x000a_LbStateAddress=3 3 0 251 1 89 2 311_x000d__x000a_LbStateJou" xfId="35"/>
    <cellStyle name="20% - Ênfase1 100" xfId="1"/>
    <cellStyle name="60% - Ênfase6 37" xfId="2"/>
    <cellStyle name="Comma_Arauco Piping list" xfId="36"/>
    <cellStyle name="Comma0" xfId="37"/>
    <cellStyle name="CORES" xfId="38"/>
    <cellStyle name="Currency [0]_Arauco Piping list" xfId="39"/>
    <cellStyle name="Currency_Arauco Piping list" xfId="40"/>
    <cellStyle name="Currency0" xfId="41"/>
    <cellStyle name="Data" xfId="42"/>
    <cellStyle name="Date" xfId="43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7"/>
    <cellStyle name="Excel Built-in Normal 3" xfId="44"/>
    <cellStyle name="Excel_BuiltIn_Comma" xfId="8"/>
    <cellStyle name="Fixed" xfId="45"/>
    <cellStyle name="Fixo" xfId="46"/>
    <cellStyle name="Followed Hyperlink" xfId="47"/>
    <cellStyle name="Grey" xfId="48"/>
    <cellStyle name="Heading" xfId="9"/>
    <cellStyle name="Heading 1" xfId="49"/>
    <cellStyle name="Heading 2" xfId="50"/>
    <cellStyle name="Heading1" xfId="10"/>
    <cellStyle name="Hiperlink 2" xfId="51"/>
    <cellStyle name="Indefinido" xfId="52"/>
    <cellStyle name="Input [yellow]" xfId="53"/>
    <cellStyle name="material" xfId="54"/>
    <cellStyle name="material 2" xfId="191"/>
    <cellStyle name="material 2 2" xfId="555"/>
    <cellStyle name="material 3" xfId="496"/>
    <cellStyle name="material 4" xfId="365"/>
    <cellStyle name="MINIPG" xfId="55"/>
    <cellStyle name="Moeda" xfId="1697" builtinId="4"/>
    <cellStyle name="Moeda 2" xfId="56"/>
    <cellStyle name="Normal" xfId="0" builtinId="0"/>
    <cellStyle name="Normal - Style1" xfId="57"/>
    <cellStyle name="Normal 10" xfId="58"/>
    <cellStyle name="Normal 10 2" xfId="32"/>
    <cellStyle name="Normal 10 2 2" xfId="435"/>
    <cellStyle name="Normal 10 3" xfId="366"/>
    <cellStyle name="Normal 100" xfId="312"/>
    <cellStyle name="Normal 101" xfId="864"/>
    <cellStyle name="Normal 102" xfId="868"/>
    <cellStyle name="Normal 103" xfId="1282"/>
    <cellStyle name="Normal 104" xfId="1331"/>
    <cellStyle name="Normal 11" xfId="59"/>
    <cellStyle name="Normal 11 2" xfId="189"/>
    <cellStyle name="Normal 11 2 2" xfId="436"/>
    <cellStyle name="Normal 11 3" xfId="367"/>
    <cellStyle name="Normal 12" xfId="11"/>
    <cellStyle name="Normal 12 2" xfId="192"/>
    <cellStyle name="Normal 12 2 2" xfId="556"/>
    <cellStyle name="Normal 12 3" xfId="497"/>
    <cellStyle name="Normal 12 4" xfId="368"/>
    <cellStyle name="Normal 13" xfId="60"/>
    <cellStyle name="Normal 13 10" xfId="872"/>
    <cellStyle name="Normal 13 2" xfId="61"/>
    <cellStyle name="Normal 13 2 2" xfId="193"/>
    <cellStyle name="Normal 13 2 2 2" xfId="760"/>
    <cellStyle name="Normal 13 2 2 2 2" xfId="1607"/>
    <cellStyle name="Normal 13 2 2 2 3" xfId="1192"/>
    <cellStyle name="Normal 13 2 2 3" xfId="558"/>
    <cellStyle name="Normal 13 2 2 3 2" xfId="1472"/>
    <cellStyle name="Normal 13 2 2 3 3" xfId="1057"/>
    <cellStyle name="Normal 13 2 2 4" xfId="1332"/>
    <cellStyle name="Normal 13 2 2 5" xfId="917"/>
    <cellStyle name="Normal 13 2 3" xfId="662"/>
    <cellStyle name="Normal 13 2 3 2" xfId="804"/>
    <cellStyle name="Normal 13 2 3 2 2" xfId="1650"/>
    <cellStyle name="Normal 13 2 3 2 3" xfId="1235"/>
    <cellStyle name="Normal 13 2 3 3" xfId="1515"/>
    <cellStyle name="Normal 13 2 3 4" xfId="1100"/>
    <cellStyle name="Normal 13 2 4" xfId="499"/>
    <cellStyle name="Normal 13 2 4 2" xfId="1426"/>
    <cellStyle name="Normal 13 2 4 3" xfId="1011"/>
    <cellStyle name="Normal 13 2 5" xfId="714"/>
    <cellStyle name="Normal 13 2 5 2" xfId="1561"/>
    <cellStyle name="Normal 13 2 5 3" xfId="1146"/>
    <cellStyle name="Normal 13 2 6" xfId="370"/>
    <cellStyle name="Normal 13 2 6 2" xfId="1377"/>
    <cellStyle name="Normal 13 2 6 3" xfId="962"/>
    <cellStyle name="Normal 13 2 7" xfId="1287"/>
    <cellStyle name="Normal 13 2 8" xfId="873"/>
    <cellStyle name="Normal 13 3" xfId="62"/>
    <cellStyle name="Normal 13 3 2" xfId="194"/>
    <cellStyle name="Normal 13 3 2 2" xfId="761"/>
    <cellStyle name="Normal 13 3 2 2 2" xfId="1608"/>
    <cellStyle name="Normal 13 3 2 2 3" xfId="1193"/>
    <cellStyle name="Normal 13 3 2 3" xfId="559"/>
    <cellStyle name="Normal 13 3 2 3 2" xfId="1473"/>
    <cellStyle name="Normal 13 3 2 3 3" xfId="1058"/>
    <cellStyle name="Normal 13 3 2 4" xfId="1333"/>
    <cellStyle name="Normal 13 3 2 5" xfId="918"/>
    <cellStyle name="Normal 13 3 3" xfId="663"/>
    <cellStyle name="Normal 13 3 3 2" xfId="805"/>
    <cellStyle name="Normal 13 3 3 2 2" xfId="1651"/>
    <cellStyle name="Normal 13 3 3 2 3" xfId="1236"/>
    <cellStyle name="Normal 13 3 3 3" xfId="1516"/>
    <cellStyle name="Normal 13 3 3 4" xfId="1101"/>
    <cellStyle name="Normal 13 3 4" xfId="500"/>
    <cellStyle name="Normal 13 3 4 2" xfId="1427"/>
    <cellStyle name="Normal 13 3 4 3" xfId="1012"/>
    <cellStyle name="Normal 13 3 5" xfId="715"/>
    <cellStyle name="Normal 13 3 5 2" xfId="1562"/>
    <cellStyle name="Normal 13 3 5 3" xfId="1147"/>
    <cellStyle name="Normal 13 3 6" xfId="371"/>
    <cellStyle name="Normal 13 3 6 2" xfId="1378"/>
    <cellStyle name="Normal 13 3 6 3" xfId="963"/>
    <cellStyle name="Normal 13 3 7" xfId="1288"/>
    <cellStyle name="Normal 13 3 8" xfId="874"/>
    <cellStyle name="Normal 13 4" xfId="63"/>
    <cellStyle name="Normal 13 4 2" xfId="33"/>
    <cellStyle name="Normal 13 4 2 2" xfId="659"/>
    <cellStyle name="Normal 13 4 2 2 2" xfId="1512"/>
    <cellStyle name="Normal 13 4 2 2 3" xfId="1097"/>
    <cellStyle name="Normal 13 4 2 3" xfId="801"/>
    <cellStyle name="Normal 13 4 2 3 2" xfId="1647"/>
    <cellStyle name="Normal 13 4 2 3 3" xfId="1232"/>
    <cellStyle name="Normal 13 4 2 4" xfId="851"/>
    <cellStyle name="Normal 13 4 2 4 2" xfId="1695"/>
    <cellStyle name="Normal 13 4 2 4 3" xfId="1280"/>
    <cellStyle name="Normal 13 4 2 5" xfId="439"/>
    <cellStyle name="Normal 13 4 2 5 2" xfId="1419"/>
    <cellStyle name="Normal 13 4 2 5 3" xfId="1004"/>
    <cellStyle name="Normal 13 4 2 6" xfId="1284"/>
    <cellStyle name="Normal 13 4 2 7" xfId="870"/>
    <cellStyle name="Normal 13 4 3" xfId="308"/>
    <cellStyle name="Normal 13 4 3 2" xfId="660"/>
    <cellStyle name="Normal 13 4 3 2 2" xfId="1513"/>
    <cellStyle name="Normal 13 4 3 2 3" xfId="1098"/>
    <cellStyle name="Normal 13 4 3 3" xfId="802"/>
    <cellStyle name="Normal 13 4 3 3 2" xfId="1648"/>
    <cellStyle name="Normal 13 4 3 3 3" xfId="1233"/>
    <cellStyle name="Normal 13 4 3 4" xfId="440"/>
    <cellStyle name="Normal 13 4 3 4 2" xfId="1420"/>
    <cellStyle name="Normal 13 4 3 4 3" xfId="1005"/>
    <cellStyle name="Normal 13 4 3 5" xfId="1374"/>
    <cellStyle name="Normal 13 4 3 6" xfId="959"/>
    <cellStyle name="Normal 13 4 4" xfId="549"/>
    <cellStyle name="Normal 13 4 4 2" xfId="1465"/>
    <cellStyle name="Normal 13 4 4 3" xfId="1050"/>
    <cellStyle name="Normal 13 4 5" xfId="753"/>
    <cellStyle name="Normal 13 4 5 2" xfId="1600"/>
    <cellStyle name="Normal 13 4 5 3" xfId="1185"/>
    <cellStyle name="Normal 13 4 6" xfId="850"/>
    <cellStyle name="Normal 13 4 6 2" xfId="1694"/>
    <cellStyle name="Normal 13 4 6 3" xfId="1279"/>
    <cellStyle name="Normal 13 4 7" xfId="428"/>
    <cellStyle name="Normal 13 4 7 2" xfId="1416"/>
    <cellStyle name="Normal 13 4 7 3" xfId="1001"/>
    <cellStyle name="Normal 13 4 8" xfId="1289"/>
    <cellStyle name="Normal 13 4 9" xfId="875"/>
    <cellStyle name="Normal 13 5" xfId="64"/>
    <cellStyle name="Normal 13 5 2" xfId="703"/>
    <cellStyle name="Normal 13 5 2 2" xfId="844"/>
    <cellStyle name="Normal 13 5 2 2 2" xfId="1690"/>
    <cellStyle name="Normal 13 5 2 2 3" xfId="1275"/>
    <cellStyle name="Normal 13 5 2 3" xfId="1555"/>
    <cellStyle name="Normal 13 5 2 4" xfId="1140"/>
    <cellStyle name="Normal 13 5 3" xfId="557"/>
    <cellStyle name="Normal 13 5 3 2" xfId="1471"/>
    <cellStyle name="Normal 13 5 3 3" xfId="1056"/>
    <cellStyle name="Normal 13 5 4" xfId="759"/>
    <cellStyle name="Normal 13 5 4 2" xfId="1606"/>
    <cellStyle name="Normal 13 5 4 3" xfId="1191"/>
    <cellStyle name="Normal 13 5 5" xfId="441"/>
    <cellStyle name="Normal 13 5 5 2" xfId="1421"/>
    <cellStyle name="Normal 13 5 5 3" xfId="1006"/>
    <cellStyle name="Normal 13 5 6" xfId="1290"/>
    <cellStyle name="Normal 13 5 7" xfId="876"/>
    <cellStyle name="Normal 13 6" xfId="498"/>
    <cellStyle name="Normal 13 6 2" xfId="1425"/>
    <cellStyle name="Normal 13 6 3" xfId="1010"/>
    <cellStyle name="Normal 13 7" xfId="713"/>
    <cellStyle name="Normal 13 7 2" xfId="1560"/>
    <cellStyle name="Normal 13 7 3" xfId="1145"/>
    <cellStyle name="Normal 13 8" xfId="369"/>
    <cellStyle name="Normal 13 8 2" xfId="1376"/>
    <cellStyle name="Normal 13 8 3" xfId="961"/>
    <cellStyle name="Normal 13 9" xfId="1286"/>
    <cellStyle name="Normal 14" xfId="65"/>
    <cellStyle name="Normal 14 10" xfId="877"/>
    <cellStyle name="Normal 14 2" xfId="66"/>
    <cellStyle name="Normal 14 2 2" xfId="195"/>
    <cellStyle name="Normal 14 2 2 2" xfId="763"/>
    <cellStyle name="Normal 14 2 2 2 2" xfId="1610"/>
    <cellStyle name="Normal 14 2 2 2 3" xfId="1195"/>
    <cellStyle name="Normal 14 2 2 3" xfId="561"/>
    <cellStyle name="Normal 14 2 2 3 2" xfId="1475"/>
    <cellStyle name="Normal 14 2 2 3 3" xfId="1060"/>
    <cellStyle name="Normal 14 2 2 4" xfId="1334"/>
    <cellStyle name="Normal 14 2 2 5" xfId="919"/>
    <cellStyle name="Normal 14 2 3" xfId="665"/>
    <cellStyle name="Normal 14 2 3 2" xfId="807"/>
    <cellStyle name="Normal 14 2 3 2 2" xfId="1653"/>
    <cellStyle name="Normal 14 2 3 2 3" xfId="1238"/>
    <cellStyle name="Normal 14 2 3 3" xfId="1518"/>
    <cellStyle name="Normal 14 2 3 4" xfId="1103"/>
    <cellStyle name="Normal 14 2 4" xfId="502"/>
    <cellStyle name="Normal 14 2 4 2" xfId="1429"/>
    <cellStyle name="Normal 14 2 4 3" xfId="1014"/>
    <cellStyle name="Normal 14 2 5" xfId="717"/>
    <cellStyle name="Normal 14 2 5 2" xfId="1564"/>
    <cellStyle name="Normal 14 2 5 3" xfId="1149"/>
    <cellStyle name="Normal 14 2 6" xfId="373"/>
    <cellStyle name="Normal 14 2 6 2" xfId="1380"/>
    <cellStyle name="Normal 14 2 6 3" xfId="965"/>
    <cellStyle name="Normal 14 2 7" xfId="1292"/>
    <cellStyle name="Normal 14 2 8" xfId="878"/>
    <cellStyle name="Normal 14 3" xfId="67"/>
    <cellStyle name="Normal 14 3 2" xfId="196"/>
    <cellStyle name="Normal 14 3 2 2" xfId="764"/>
    <cellStyle name="Normal 14 3 2 2 2" xfId="1611"/>
    <cellStyle name="Normal 14 3 2 2 3" xfId="1196"/>
    <cellStyle name="Normal 14 3 2 3" xfId="562"/>
    <cellStyle name="Normal 14 3 2 3 2" xfId="1476"/>
    <cellStyle name="Normal 14 3 2 3 3" xfId="1061"/>
    <cellStyle name="Normal 14 3 2 4" xfId="1335"/>
    <cellStyle name="Normal 14 3 2 5" xfId="920"/>
    <cellStyle name="Normal 14 3 3" xfId="666"/>
    <cellStyle name="Normal 14 3 3 2" xfId="808"/>
    <cellStyle name="Normal 14 3 3 2 2" xfId="1654"/>
    <cellStyle name="Normal 14 3 3 2 3" xfId="1239"/>
    <cellStyle name="Normal 14 3 3 3" xfId="1519"/>
    <cellStyle name="Normal 14 3 3 4" xfId="1104"/>
    <cellStyle name="Normal 14 3 4" xfId="503"/>
    <cellStyle name="Normal 14 3 4 2" xfId="1430"/>
    <cellStyle name="Normal 14 3 4 3" xfId="1015"/>
    <cellStyle name="Normal 14 3 5" xfId="718"/>
    <cellStyle name="Normal 14 3 5 2" xfId="1565"/>
    <cellStyle name="Normal 14 3 5 3" xfId="1150"/>
    <cellStyle name="Normal 14 3 6" xfId="374"/>
    <cellStyle name="Normal 14 3 6 2" xfId="1381"/>
    <cellStyle name="Normal 14 3 6 3" xfId="966"/>
    <cellStyle name="Normal 14 3 7" xfId="1293"/>
    <cellStyle name="Normal 14 3 8" xfId="879"/>
    <cellStyle name="Normal 14 4" xfId="197"/>
    <cellStyle name="Normal 14 4 2" xfId="762"/>
    <cellStyle name="Normal 14 4 2 2" xfId="1609"/>
    <cellStyle name="Normal 14 4 2 3" xfId="1194"/>
    <cellStyle name="Normal 14 4 3" xfId="560"/>
    <cellStyle name="Normal 14 4 3 2" xfId="1474"/>
    <cellStyle name="Normal 14 4 3 3" xfId="1059"/>
    <cellStyle name="Normal 14 4 4" xfId="1336"/>
    <cellStyle name="Normal 14 4 5" xfId="921"/>
    <cellStyle name="Normal 14 5" xfId="664"/>
    <cellStyle name="Normal 14 5 2" xfId="806"/>
    <cellStyle name="Normal 14 5 2 2" xfId="1652"/>
    <cellStyle name="Normal 14 5 2 3" xfId="1237"/>
    <cellStyle name="Normal 14 5 3" xfId="1517"/>
    <cellStyle name="Normal 14 5 4" xfId="1102"/>
    <cellStyle name="Normal 14 6" xfId="501"/>
    <cellStyle name="Normal 14 6 2" xfId="1428"/>
    <cellStyle name="Normal 14 6 3" xfId="1013"/>
    <cellStyle name="Normal 14 7" xfId="716"/>
    <cellStyle name="Normal 14 7 2" xfId="1563"/>
    <cellStyle name="Normal 14 7 3" xfId="1148"/>
    <cellStyle name="Normal 14 8" xfId="372"/>
    <cellStyle name="Normal 14 8 2" xfId="1379"/>
    <cellStyle name="Normal 14 8 3" xfId="964"/>
    <cellStyle name="Normal 14 9" xfId="1291"/>
    <cellStyle name="Normal 15" xfId="68"/>
    <cellStyle name="Normal 15 2" xfId="69"/>
    <cellStyle name="Normal 16" xfId="70"/>
    <cellStyle name="Normal 16 10" xfId="880"/>
    <cellStyle name="Normal 16 2" xfId="71"/>
    <cellStyle name="Normal 16 2 2" xfId="198"/>
    <cellStyle name="Normal 16 2 2 2" xfId="766"/>
    <cellStyle name="Normal 16 2 2 2 2" xfId="1613"/>
    <cellStyle name="Normal 16 2 2 2 3" xfId="1198"/>
    <cellStyle name="Normal 16 2 2 3" xfId="564"/>
    <cellStyle name="Normal 16 2 2 3 2" xfId="1478"/>
    <cellStyle name="Normal 16 2 2 3 3" xfId="1063"/>
    <cellStyle name="Normal 16 2 2 4" xfId="1337"/>
    <cellStyle name="Normal 16 2 2 5" xfId="922"/>
    <cellStyle name="Normal 16 2 3" xfId="668"/>
    <cellStyle name="Normal 16 2 3 2" xfId="810"/>
    <cellStyle name="Normal 16 2 3 2 2" xfId="1656"/>
    <cellStyle name="Normal 16 2 3 2 3" xfId="1241"/>
    <cellStyle name="Normal 16 2 3 3" xfId="1521"/>
    <cellStyle name="Normal 16 2 3 4" xfId="1106"/>
    <cellStyle name="Normal 16 2 4" xfId="505"/>
    <cellStyle name="Normal 16 2 4 2" xfId="1432"/>
    <cellStyle name="Normal 16 2 4 3" xfId="1017"/>
    <cellStyle name="Normal 16 2 5" xfId="720"/>
    <cellStyle name="Normal 16 2 5 2" xfId="1567"/>
    <cellStyle name="Normal 16 2 5 3" xfId="1152"/>
    <cellStyle name="Normal 16 2 6" xfId="377"/>
    <cellStyle name="Normal 16 2 6 2" xfId="1383"/>
    <cellStyle name="Normal 16 2 6 3" xfId="968"/>
    <cellStyle name="Normal 16 2 7" xfId="1295"/>
    <cellStyle name="Normal 16 2 8" xfId="881"/>
    <cellStyle name="Normal 16 3" xfId="72"/>
    <cellStyle name="Normal 16 3 2" xfId="199"/>
    <cellStyle name="Normal 16 3 2 2" xfId="767"/>
    <cellStyle name="Normal 16 3 2 2 2" xfId="1614"/>
    <cellStyle name="Normal 16 3 2 2 3" xfId="1199"/>
    <cellStyle name="Normal 16 3 2 3" xfId="565"/>
    <cellStyle name="Normal 16 3 2 3 2" xfId="1479"/>
    <cellStyle name="Normal 16 3 2 3 3" xfId="1064"/>
    <cellStyle name="Normal 16 3 2 4" xfId="1338"/>
    <cellStyle name="Normal 16 3 2 5" xfId="923"/>
    <cellStyle name="Normal 16 3 3" xfId="669"/>
    <cellStyle name="Normal 16 3 3 2" xfId="811"/>
    <cellStyle name="Normal 16 3 3 2 2" xfId="1657"/>
    <cellStyle name="Normal 16 3 3 2 3" xfId="1242"/>
    <cellStyle name="Normal 16 3 3 3" xfId="1522"/>
    <cellStyle name="Normal 16 3 3 4" xfId="1107"/>
    <cellStyle name="Normal 16 3 4" xfId="506"/>
    <cellStyle name="Normal 16 3 4 2" xfId="1433"/>
    <cellStyle name="Normal 16 3 4 3" xfId="1018"/>
    <cellStyle name="Normal 16 3 5" xfId="721"/>
    <cellStyle name="Normal 16 3 5 2" xfId="1568"/>
    <cellStyle name="Normal 16 3 5 3" xfId="1153"/>
    <cellStyle name="Normal 16 3 6" xfId="378"/>
    <cellStyle name="Normal 16 3 6 2" xfId="1384"/>
    <cellStyle name="Normal 16 3 6 3" xfId="969"/>
    <cellStyle name="Normal 16 3 7" xfId="1296"/>
    <cellStyle name="Normal 16 3 8" xfId="882"/>
    <cellStyle name="Normal 16 4" xfId="200"/>
    <cellStyle name="Normal 16 4 2" xfId="765"/>
    <cellStyle name="Normal 16 4 2 2" xfId="1612"/>
    <cellStyle name="Normal 16 4 2 3" xfId="1197"/>
    <cellStyle name="Normal 16 4 3" xfId="563"/>
    <cellStyle name="Normal 16 4 3 2" xfId="1477"/>
    <cellStyle name="Normal 16 4 3 3" xfId="1062"/>
    <cellStyle name="Normal 16 4 4" xfId="1339"/>
    <cellStyle name="Normal 16 4 5" xfId="924"/>
    <cellStyle name="Normal 16 5" xfId="667"/>
    <cellStyle name="Normal 16 5 2" xfId="809"/>
    <cellStyle name="Normal 16 5 2 2" xfId="1655"/>
    <cellStyle name="Normal 16 5 2 3" xfId="1240"/>
    <cellStyle name="Normal 16 5 3" xfId="1520"/>
    <cellStyle name="Normal 16 5 4" xfId="1105"/>
    <cellStyle name="Normal 16 6" xfId="504"/>
    <cellStyle name="Normal 16 6 2" xfId="1431"/>
    <cellStyle name="Normal 16 6 3" xfId="1016"/>
    <cellStyle name="Normal 16 7" xfId="719"/>
    <cellStyle name="Normal 16 7 2" xfId="1566"/>
    <cellStyle name="Normal 16 7 3" xfId="1151"/>
    <cellStyle name="Normal 16 8" xfId="376"/>
    <cellStyle name="Normal 16 8 2" xfId="1382"/>
    <cellStyle name="Normal 16 8 3" xfId="967"/>
    <cellStyle name="Normal 16 9" xfId="1294"/>
    <cellStyle name="Normal 17" xfId="73"/>
    <cellStyle name="Normal 17 2" xfId="201"/>
    <cellStyle name="Normal 17 2 2" xfId="566"/>
    <cellStyle name="Normal 17 3" xfId="470"/>
    <cellStyle name="Normal 17 4" xfId="339"/>
    <cellStyle name="Normal 18" xfId="74"/>
    <cellStyle name="Normal 18 2" xfId="202"/>
    <cellStyle name="Normal 18 2 2" xfId="567"/>
    <cellStyle name="Normal 18 3" xfId="480"/>
    <cellStyle name="Normal 18 4" xfId="349"/>
    <cellStyle name="Normal 19" xfId="75"/>
    <cellStyle name="Normal 19 2" xfId="203"/>
    <cellStyle name="Normal 19 2 2" xfId="568"/>
    <cellStyle name="Normal 19 3" xfId="461"/>
    <cellStyle name="Normal 19 4" xfId="330"/>
    <cellStyle name="Normal 2" xfId="12"/>
    <cellStyle name="Normal 2 2" xfId="76"/>
    <cellStyle name="Normal 2 2 2" xfId="77"/>
    <cellStyle name="Normal 2 2 2 2" xfId="307"/>
    <cellStyle name="Normal 2 3" xfId="301"/>
    <cellStyle name="Normal 20" xfId="78"/>
    <cellStyle name="Normal 20 2" xfId="204"/>
    <cellStyle name="Normal 20 2 2" xfId="569"/>
    <cellStyle name="Normal 20 3" xfId="466"/>
    <cellStyle name="Normal 20 4" xfId="335"/>
    <cellStyle name="Normal 21" xfId="79"/>
    <cellStyle name="Normal 21 2" xfId="205"/>
    <cellStyle name="Normal 21 2 2" xfId="570"/>
    <cellStyle name="Normal 21 3" xfId="475"/>
    <cellStyle name="Normal 21 4" xfId="344"/>
    <cellStyle name="Normal 22" xfId="80"/>
    <cellStyle name="Normal 22 2" xfId="206"/>
    <cellStyle name="Normal 22 2 2" xfId="571"/>
    <cellStyle name="Normal 22 3" xfId="457"/>
    <cellStyle name="Normal 22 4" xfId="326"/>
    <cellStyle name="Normal 23" xfId="81"/>
    <cellStyle name="Normal 23 2" xfId="207"/>
    <cellStyle name="Normal 23 2 2" xfId="572"/>
    <cellStyle name="Normal 23 3" xfId="453"/>
    <cellStyle name="Normal 23 4" xfId="322"/>
    <cellStyle name="Normal 24" xfId="82"/>
    <cellStyle name="Normal 24 2" xfId="208"/>
    <cellStyle name="Normal 24 2 2" xfId="573"/>
    <cellStyle name="Normal 24 3" xfId="455"/>
    <cellStyle name="Normal 24 4" xfId="324"/>
    <cellStyle name="Normal 25" xfId="83"/>
    <cellStyle name="Normal 25 2" xfId="209"/>
    <cellStyle name="Normal 25 2 2" xfId="574"/>
    <cellStyle name="Normal 25 3" xfId="484"/>
    <cellStyle name="Normal 25 4" xfId="353"/>
    <cellStyle name="Normal 26" xfId="84"/>
    <cellStyle name="Normal 26 2" xfId="210"/>
    <cellStyle name="Normal 26 2 2" xfId="575"/>
    <cellStyle name="Normal 26 3" xfId="495"/>
    <cellStyle name="Normal 26 4" xfId="364"/>
    <cellStyle name="Normal 27" xfId="85"/>
    <cellStyle name="Normal 27 2" xfId="211"/>
    <cellStyle name="Normal 27 2 2" xfId="576"/>
    <cellStyle name="Normal 27 3" xfId="489"/>
    <cellStyle name="Normal 27 4" xfId="358"/>
    <cellStyle name="Normal 28" xfId="86"/>
    <cellStyle name="Normal 28 2" xfId="212"/>
    <cellStyle name="Normal 28 2 2" xfId="577"/>
    <cellStyle name="Normal 28 3" xfId="486"/>
    <cellStyle name="Normal 28 4" xfId="355"/>
    <cellStyle name="Normal 29" xfId="87"/>
    <cellStyle name="Normal 29 2" xfId="213"/>
    <cellStyle name="Normal 29 2 2" xfId="578"/>
    <cellStyle name="Normal 29 3" xfId="477"/>
    <cellStyle name="Normal 29 4" xfId="346"/>
    <cellStyle name="Normal 3" xfId="13"/>
    <cellStyle name="Normal 3 2" xfId="88"/>
    <cellStyle name="Normal 3 2 2" xfId="214"/>
    <cellStyle name="Normal 3 2 2 2" xfId="580"/>
    <cellStyle name="Normal 3 2 3" xfId="507"/>
    <cellStyle name="Normal 3 2 4" xfId="379"/>
    <cellStyle name="Normal 3 3" xfId="89"/>
    <cellStyle name="Normal 3 4" xfId="215"/>
    <cellStyle name="Normal 3 4 2" xfId="579"/>
    <cellStyle name="Normal 30" xfId="90"/>
    <cellStyle name="Normal 30 2" xfId="216"/>
    <cellStyle name="Normal 30 2 2" xfId="581"/>
    <cellStyle name="Normal 30 3" xfId="451"/>
    <cellStyle name="Normal 30 4" xfId="320"/>
    <cellStyle name="Normal 31" xfId="91"/>
    <cellStyle name="Normal 31 2" xfId="217"/>
    <cellStyle name="Normal 31 2 2" xfId="582"/>
    <cellStyle name="Normal 31 3" xfId="482"/>
    <cellStyle name="Normal 31 4" xfId="351"/>
    <cellStyle name="Normal 32" xfId="92"/>
    <cellStyle name="Normal 32 2" xfId="218"/>
    <cellStyle name="Normal 32 2 2" xfId="583"/>
    <cellStyle name="Normal 32 3" xfId="459"/>
    <cellStyle name="Normal 32 4" xfId="328"/>
    <cellStyle name="Normal 33" xfId="93"/>
    <cellStyle name="Normal 33 2" xfId="219"/>
    <cellStyle name="Normal 33 2 2" xfId="584"/>
    <cellStyle name="Normal 33 3" xfId="468"/>
    <cellStyle name="Normal 33 4" xfId="337"/>
    <cellStyle name="Normal 34" xfId="94"/>
    <cellStyle name="Normal 34 2" xfId="220"/>
    <cellStyle name="Normal 34 2 2" xfId="585"/>
    <cellStyle name="Normal 34 3" xfId="493"/>
    <cellStyle name="Normal 34 4" xfId="362"/>
    <cellStyle name="Normal 35" xfId="95"/>
    <cellStyle name="Normal 35 2" xfId="221"/>
    <cellStyle name="Normal 35 2 2" xfId="586"/>
    <cellStyle name="Normal 35 3" xfId="478"/>
    <cellStyle name="Normal 35 4" xfId="347"/>
    <cellStyle name="Normal 36" xfId="96"/>
    <cellStyle name="Normal 36 2" xfId="222"/>
    <cellStyle name="Normal 36 2 2" xfId="587"/>
    <cellStyle name="Normal 36 3" xfId="464"/>
    <cellStyle name="Normal 36 4" xfId="333"/>
    <cellStyle name="Normal 37" xfId="97"/>
    <cellStyle name="Normal 37 2" xfId="98"/>
    <cellStyle name="Normal 37 2 2" xfId="223"/>
    <cellStyle name="Normal 37 2 2 2" xfId="769"/>
    <cellStyle name="Normal 37 2 2 2 2" xfId="1616"/>
    <cellStyle name="Normal 37 2 2 2 3" xfId="1201"/>
    <cellStyle name="Normal 37 2 2 3" xfId="589"/>
    <cellStyle name="Normal 37 2 2 3 2" xfId="1481"/>
    <cellStyle name="Normal 37 2 2 3 3" xfId="1066"/>
    <cellStyle name="Normal 37 2 2 4" xfId="1340"/>
    <cellStyle name="Normal 37 2 2 5" xfId="925"/>
    <cellStyle name="Normal 37 2 3" xfId="671"/>
    <cellStyle name="Normal 37 2 3 2" xfId="813"/>
    <cellStyle name="Normal 37 2 3 2 2" xfId="1659"/>
    <cellStyle name="Normal 37 2 3 2 3" xfId="1244"/>
    <cellStyle name="Normal 37 2 3 3" xfId="1524"/>
    <cellStyle name="Normal 37 2 3 4" xfId="1109"/>
    <cellStyle name="Normal 37 2 4" xfId="509"/>
    <cellStyle name="Normal 37 2 4 2" xfId="1435"/>
    <cellStyle name="Normal 37 2 4 3" xfId="1020"/>
    <cellStyle name="Normal 37 2 5" xfId="723"/>
    <cellStyle name="Normal 37 2 5 2" xfId="1570"/>
    <cellStyle name="Normal 37 2 5 3" xfId="1155"/>
    <cellStyle name="Normal 37 2 6" xfId="381"/>
    <cellStyle name="Normal 37 2 6 2" xfId="1386"/>
    <cellStyle name="Normal 37 2 6 3" xfId="971"/>
    <cellStyle name="Normal 37 2 7" xfId="1298"/>
    <cellStyle name="Normal 37 2 8" xfId="884"/>
    <cellStyle name="Normal 37 3" xfId="224"/>
    <cellStyle name="Normal 37 3 2" xfId="768"/>
    <cellStyle name="Normal 37 3 2 2" xfId="1615"/>
    <cellStyle name="Normal 37 3 2 3" xfId="1200"/>
    <cellStyle name="Normal 37 3 3" xfId="588"/>
    <cellStyle name="Normal 37 3 3 2" xfId="1480"/>
    <cellStyle name="Normal 37 3 3 3" xfId="1065"/>
    <cellStyle name="Normal 37 3 4" xfId="1341"/>
    <cellStyle name="Normal 37 3 5" xfId="926"/>
    <cellStyle name="Normal 37 4" xfId="670"/>
    <cellStyle name="Normal 37 4 2" xfId="812"/>
    <cellStyle name="Normal 37 4 2 2" xfId="1658"/>
    <cellStyle name="Normal 37 4 2 3" xfId="1243"/>
    <cellStyle name="Normal 37 4 3" xfId="1523"/>
    <cellStyle name="Normal 37 4 4" xfId="1108"/>
    <cellStyle name="Normal 37 5" xfId="508"/>
    <cellStyle name="Normal 37 5 2" xfId="1434"/>
    <cellStyle name="Normal 37 5 3" xfId="1019"/>
    <cellStyle name="Normal 37 6" xfId="722"/>
    <cellStyle name="Normal 37 6 2" xfId="1569"/>
    <cellStyle name="Normal 37 6 3" xfId="1154"/>
    <cellStyle name="Normal 37 7" xfId="380"/>
    <cellStyle name="Normal 37 7 2" xfId="1385"/>
    <cellStyle name="Normal 37 7 3" xfId="970"/>
    <cellStyle name="Normal 37 8" xfId="1297"/>
    <cellStyle name="Normal 37 9" xfId="883"/>
    <cellStyle name="Normal 38" xfId="99"/>
    <cellStyle name="Normal 38 2" xfId="225"/>
    <cellStyle name="Normal 38 2 2" xfId="770"/>
    <cellStyle name="Normal 38 2 2 2" xfId="1617"/>
    <cellStyle name="Normal 38 2 2 3" xfId="1202"/>
    <cellStyle name="Normal 38 2 3" xfId="590"/>
    <cellStyle name="Normal 38 2 3 2" xfId="1482"/>
    <cellStyle name="Normal 38 2 3 3" xfId="1067"/>
    <cellStyle name="Normal 38 2 4" xfId="1342"/>
    <cellStyle name="Normal 38 2 5" xfId="927"/>
    <cellStyle name="Normal 38 3" xfId="672"/>
    <cellStyle name="Normal 38 3 2" xfId="814"/>
    <cellStyle name="Normal 38 3 2 2" xfId="1660"/>
    <cellStyle name="Normal 38 3 2 3" xfId="1245"/>
    <cellStyle name="Normal 38 3 3" xfId="1525"/>
    <cellStyle name="Normal 38 3 4" xfId="1110"/>
    <cellStyle name="Normal 38 4" xfId="510"/>
    <cellStyle name="Normal 38 4 2" xfId="1436"/>
    <cellStyle name="Normal 38 4 3" xfId="1021"/>
    <cellStyle name="Normal 38 5" xfId="724"/>
    <cellStyle name="Normal 38 5 2" xfId="1571"/>
    <cellStyle name="Normal 38 5 3" xfId="1156"/>
    <cellStyle name="Normal 38 6" xfId="382"/>
    <cellStyle name="Normal 38 6 2" xfId="1387"/>
    <cellStyle name="Normal 38 6 3" xfId="972"/>
    <cellStyle name="Normal 38 7" xfId="1299"/>
    <cellStyle name="Normal 38 8" xfId="885"/>
    <cellStyle name="Normal 39" xfId="100"/>
    <cellStyle name="Normal 39 2" xfId="226"/>
    <cellStyle name="Normal 39 2 2" xfId="591"/>
    <cellStyle name="Normal 39 3" xfId="452"/>
    <cellStyle name="Normal 39 4" xfId="321"/>
    <cellStyle name="Normal 4" xfId="101"/>
    <cellStyle name="Normal 4 2" xfId="102"/>
    <cellStyle name="Normal 4 2 2" xfId="423"/>
    <cellStyle name="Normal 4 3" xfId="227"/>
    <cellStyle name="Normal 4 4" xfId="313"/>
    <cellStyle name="Normal 40" xfId="103"/>
    <cellStyle name="Normal 40 2" xfId="228"/>
    <cellStyle name="Normal 40 2 2" xfId="592"/>
    <cellStyle name="Normal 40 3" xfId="454"/>
    <cellStyle name="Normal 40 4" xfId="323"/>
    <cellStyle name="Normal 41" xfId="104"/>
    <cellStyle name="Normal 41 2" xfId="229"/>
    <cellStyle name="Normal 41 2 2" xfId="593"/>
    <cellStyle name="Normal 41 3" xfId="456"/>
    <cellStyle name="Normal 41 4" xfId="325"/>
    <cellStyle name="Normal 42" xfId="105"/>
    <cellStyle name="Normal 42 2" xfId="230"/>
    <cellStyle name="Normal 42 2 2" xfId="594"/>
    <cellStyle name="Normal 42 3" xfId="458"/>
    <cellStyle name="Normal 42 4" xfId="327"/>
    <cellStyle name="Normal 43" xfId="106"/>
    <cellStyle name="Normal 43 2" xfId="231"/>
    <cellStyle name="Normal 43 2 2" xfId="595"/>
    <cellStyle name="Normal 43 3" xfId="460"/>
    <cellStyle name="Normal 43 4" xfId="329"/>
    <cellStyle name="Normal 44" xfId="107"/>
    <cellStyle name="Normal 44 2" xfId="232"/>
    <cellStyle name="Normal 44 2 2" xfId="596"/>
    <cellStyle name="Normal 44 3" xfId="462"/>
    <cellStyle name="Normal 44 4" xfId="331"/>
    <cellStyle name="Normal 45" xfId="108"/>
    <cellStyle name="Normal 45 2" xfId="233"/>
    <cellStyle name="Normal 45 2 2" xfId="597"/>
    <cellStyle name="Normal 45 3" xfId="463"/>
    <cellStyle name="Normal 45 4" xfId="332"/>
    <cellStyle name="Normal 46" xfId="109"/>
    <cellStyle name="Normal 46 2" xfId="234"/>
    <cellStyle name="Normal 46 2 2" xfId="598"/>
    <cellStyle name="Normal 46 3" xfId="465"/>
    <cellStyle name="Normal 46 4" xfId="334"/>
    <cellStyle name="Normal 47" xfId="110"/>
    <cellStyle name="Normal 47 2" xfId="235"/>
    <cellStyle name="Normal 47 2 2" xfId="599"/>
    <cellStyle name="Normal 47 3" xfId="467"/>
    <cellStyle name="Normal 47 4" xfId="336"/>
    <cellStyle name="Normal 48" xfId="111"/>
    <cellStyle name="Normal 48 2" xfId="236"/>
    <cellStyle name="Normal 48 2 2" xfId="600"/>
    <cellStyle name="Normal 48 3" xfId="469"/>
    <cellStyle name="Normal 48 4" xfId="338"/>
    <cellStyle name="Normal 49" xfId="112"/>
    <cellStyle name="Normal 49 2" xfId="237"/>
    <cellStyle name="Normal 49 2 2" xfId="601"/>
    <cellStyle name="Normal 49 3" xfId="471"/>
    <cellStyle name="Normal 49 4" xfId="340"/>
    <cellStyle name="Normal 5" xfId="113"/>
    <cellStyle name="Normal 5 10" xfId="1300"/>
    <cellStyle name="Normal 5 11" xfId="886"/>
    <cellStyle name="Normal 5 2" xfId="114"/>
    <cellStyle name="Normal 5 2 10" xfId="887"/>
    <cellStyle name="Normal 5 2 2" xfId="115"/>
    <cellStyle name="Normal 5 2 2 2" xfId="238"/>
    <cellStyle name="Normal 5 2 2 2 2" xfId="773"/>
    <cellStyle name="Normal 5 2 2 2 2 2" xfId="1620"/>
    <cellStyle name="Normal 5 2 2 2 2 3" xfId="1205"/>
    <cellStyle name="Normal 5 2 2 2 3" xfId="604"/>
    <cellStyle name="Normal 5 2 2 2 3 2" xfId="1485"/>
    <cellStyle name="Normal 5 2 2 2 3 3" xfId="1070"/>
    <cellStyle name="Normal 5 2 2 2 4" xfId="1343"/>
    <cellStyle name="Normal 5 2 2 2 5" xfId="928"/>
    <cellStyle name="Normal 5 2 2 3" xfId="676"/>
    <cellStyle name="Normal 5 2 2 3 2" xfId="817"/>
    <cellStyle name="Normal 5 2 2 3 2 2" xfId="1663"/>
    <cellStyle name="Normal 5 2 2 3 2 3" xfId="1248"/>
    <cellStyle name="Normal 5 2 2 3 3" xfId="1528"/>
    <cellStyle name="Normal 5 2 2 3 4" xfId="1113"/>
    <cellStyle name="Normal 5 2 2 4" xfId="513"/>
    <cellStyle name="Normal 5 2 2 4 2" xfId="1439"/>
    <cellStyle name="Normal 5 2 2 4 3" xfId="1024"/>
    <cellStyle name="Normal 5 2 2 5" xfId="727"/>
    <cellStyle name="Normal 5 2 2 5 2" xfId="1574"/>
    <cellStyle name="Normal 5 2 2 5 3" xfId="1159"/>
    <cellStyle name="Normal 5 2 2 6" xfId="385"/>
    <cellStyle name="Normal 5 2 2 6 2" xfId="1390"/>
    <cellStyle name="Normal 5 2 2 6 3" xfId="975"/>
    <cellStyle name="Normal 5 2 2 7" xfId="1302"/>
    <cellStyle name="Normal 5 2 2 8" xfId="888"/>
    <cellStyle name="Normal 5 2 3" xfId="116"/>
    <cellStyle name="Normal 5 2 3 2" xfId="239"/>
    <cellStyle name="Normal 5 2 3 2 2" xfId="774"/>
    <cellStyle name="Normal 5 2 3 2 2 2" xfId="1621"/>
    <cellStyle name="Normal 5 2 3 2 2 3" xfId="1206"/>
    <cellStyle name="Normal 5 2 3 2 3" xfId="605"/>
    <cellStyle name="Normal 5 2 3 2 3 2" xfId="1486"/>
    <cellStyle name="Normal 5 2 3 2 3 3" xfId="1071"/>
    <cellStyle name="Normal 5 2 3 2 4" xfId="1344"/>
    <cellStyle name="Normal 5 2 3 2 5" xfId="929"/>
    <cellStyle name="Normal 5 2 3 3" xfId="677"/>
    <cellStyle name="Normal 5 2 3 3 2" xfId="818"/>
    <cellStyle name="Normal 5 2 3 3 2 2" xfId="1664"/>
    <cellStyle name="Normal 5 2 3 3 2 3" xfId="1249"/>
    <cellStyle name="Normal 5 2 3 3 3" xfId="1529"/>
    <cellStyle name="Normal 5 2 3 3 4" xfId="1114"/>
    <cellStyle name="Normal 5 2 3 4" xfId="514"/>
    <cellStyle name="Normal 5 2 3 4 2" xfId="1440"/>
    <cellStyle name="Normal 5 2 3 4 3" xfId="1025"/>
    <cellStyle name="Normal 5 2 3 5" xfId="728"/>
    <cellStyle name="Normal 5 2 3 5 2" xfId="1575"/>
    <cellStyle name="Normal 5 2 3 5 3" xfId="1160"/>
    <cellStyle name="Normal 5 2 3 6" xfId="386"/>
    <cellStyle name="Normal 5 2 3 6 2" xfId="1391"/>
    <cellStyle name="Normal 5 2 3 6 3" xfId="976"/>
    <cellStyle name="Normal 5 2 3 7" xfId="1303"/>
    <cellStyle name="Normal 5 2 3 8" xfId="889"/>
    <cellStyle name="Normal 5 2 4" xfId="240"/>
    <cellStyle name="Normal 5 2 4 2" xfId="772"/>
    <cellStyle name="Normal 5 2 4 2 2" xfId="1619"/>
    <cellStyle name="Normal 5 2 4 2 3" xfId="1204"/>
    <cellStyle name="Normal 5 2 4 3" xfId="603"/>
    <cellStyle name="Normal 5 2 4 3 2" xfId="1484"/>
    <cellStyle name="Normal 5 2 4 3 3" xfId="1069"/>
    <cellStyle name="Normal 5 2 4 4" xfId="1345"/>
    <cellStyle name="Normal 5 2 4 5" xfId="930"/>
    <cellStyle name="Normal 5 2 5" xfId="675"/>
    <cellStyle name="Normal 5 2 5 2" xfId="816"/>
    <cellStyle name="Normal 5 2 5 2 2" xfId="1662"/>
    <cellStyle name="Normal 5 2 5 2 3" xfId="1247"/>
    <cellStyle name="Normal 5 2 5 3" xfId="1527"/>
    <cellStyle name="Normal 5 2 5 4" xfId="1112"/>
    <cellStyle name="Normal 5 2 6" xfId="512"/>
    <cellStyle name="Normal 5 2 6 2" xfId="1438"/>
    <cellStyle name="Normal 5 2 6 3" xfId="1023"/>
    <cellStyle name="Normal 5 2 7" xfId="726"/>
    <cellStyle name="Normal 5 2 7 2" xfId="1573"/>
    <cellStyle name="Normal 5 2 7 3" xfId="1158"/>
    <cellStyle name="Normal 5 2 8" xfId="384"/>
    <cellStyle name="Normal 5 2 8 2" xfId="1389"/>
    <cellStyle name="Normal 5 2 8 3" xfId="974"/>
    <cellStyle name="Normal 5 2 9" xfId="1301"/>
    <cellStyle name="Normal 5 3" xfId="117"/>
    <cellStyle name="Normal 5 3 2" xfId="241"/>
    <cellStyle name="Normal 5 3 2 2" xfId="775"/>
    <cellStyle name="Normal 5 3 2 2 2" xfId="1622"/>
    <cellStyle name="Normal 5 3 2 2 3" xfId="1207"/>
    <cellStyle name="Normal 5 3 2 3" xfId="606"/>
    <cellStyle name="Normal 5 3 2 3 2" xfId="1487"/>
    <cellStyle name="Normal 5 3 2 3 3" xfId="1072"/>
    <cellStyle name="Normal 5 3 2 4" xfId="1346"/>
    <cellStyle name="Normal 5 3 2 5" xfId="931"/>
    <cellStyle name="Normal 5 3 3" xfId="678"/>
    <cellStyle name="Normal 5 3 3 2" xfId="819"/>
    <cellStyle name="Normal 5 3 3 2 2" xfId="1665"/>
    <cellStyle name="Normal 5 3 3 2 3" xfId="1250"/>
    <cellStyle name="Normal 5 3 3 3" xfId="1530"/>
    <cellStyle name="Normal 5 3 3 4" xfId="1115"/>
    <cellStyle name="Normal 5 3 4" xfId="515"/>
    <cellStyle name="Normal 5 3 4 2" xfId="1441"/>
    <cellStyle name="Normal 5 3 4 3" xfId="1026"/>
    <cellStyle name="Normal 5 3 5" xfId="729"/>
    <cellStyle name="Normal 5 3 5 2" xfId="1576"/>
    <cellStyle name="Normal 5 3 5 3" xfId="1161"/>
    <cellStyle name="Normal 5 3 6" xfId="387"/>
    <cellStyle name="Normal 5 3 6 2" xfId="1392"/>
    <cellStyle name="Normal 5 3 6 3" xfId="977"/>
    <cellStyle name="Normal 5 3 7" xfId="1304"/>
    <cellStyle name="Normal 5 3 8" xfId="890"/>
    <cellStyle name="Normal 5 4" xfId="118"/>
    <cellStyle name="Normal 5 4 2" xfId="242"/>
    <cellStyle name="Normal 5 4 2 2" xfId="776"/>
    <cellStyle name="Normal 5 4 2 2 2" xfId="1623"/>
    <cellStyle name="Normal 5 4 2 2 3" xfId="1208"/>
    <cellStyle name="Normal 5 4 2 3" xfId="607"/>
    <cellStyle name="Normal 5 4 2 3 2" xfId="1488"/>
    <cellStyle name="Normal 5 4 2 3 3" xfId="1073"/>
    <cellStyle name="Normal 5 4 2 4" xfId="1347"/>
    <cellStyle name="Normal 5 4 2 5" xfId="932"/>
    <cellStyle name="Normal 5 4 3" xfId="679"/>
    <cellStyle name="Normal 5 4 3 2" xfId="820"/>
    <cellStyle name="Normal 5 4 3 2 2" xfId="1666"/>
    <cellStyle name="Normal 5 4 3 2 3" xfId="1251"/>
    <cellStyle name="Normal 5 4 3 3" xfId="1531"/>
    <cellStyle name="Normal 5 4 3 4" xfId="1116"/>
    <cellStyle name="Normal 5 4 4" xfId="516"/>
    <cellStyle name="Normal 5 4 4 2" xfId="1442"/>
    <cellStyle name="Normal 5 4 4 3" xfId="1027"/>
    <cellStyle name="Normal 5 4 5" xfId="730"/>
    <cellStyle name="Normal 5 4 5 2" xfId="1577"/>
    <cellStyle name="Normal 5 4 5 3" xfId="1162"/>
    <cellStyle name="Normal 5 4 6" xfId="388"/>
    <cellStyle name="Normal 5 4 6 2" xfId="1393"/>
    <cellStyle name="Normal 5 4 6 3" xfId="978"/>
    <cellStyle name="Normal 5 4 7" xfId="1305"/>
    <cellStyle name="Normal 5 4 8" xfId="891"/>
    <cellStyle name="Normal 5 5" xfId="243"/>
    <cellStyle name="Normal 5 5 2" xfId="771"/>
    <cellStyle name="Normal 5 5 2 2" xfId="1618"/>
    <cellStyle name="Normal 5 5 2 3" xfId="1203"/>
    <cellStyle name="Normal 5 5 3" xfId="602"/>
    <cellStyle name="Normal 5 5 3 2" xfId="1483"/>
    <cellStyle name="Normal 5 5 3 3" xfId="1068"/>
    <cellStyle name="Normal 5 5 4" xfId="1348"/>
    <cellStyle name="Normal 5 5 5" xfId="933"/>
    <cellStyle name="Normal 5 6" xfId="674"/>
    <cellStyle name="Normal 5 6 2" xfId="815"/>
    <cellStyle name="Normal 5 6 2 2" xfId="1661"/>
    <cellStyle name="Normal 5 6 2 3" xfId="1246"/>
    <cellStyle name="Normal 5 6 3" xfId="1526"/>
    <cellStyle name="Normal 5 6 4" xfId="1111"/>
    <cellStyle name="Normal 5 7" xfId="511"/>
    <cellStyle name="Normal 5 7 2" xfId="1437"/>
    <cellStyle name="Normal 5 7 3" xfId="1022"/>
    <cellStyle name="Normal 5 8" xfId="725"/>
    <cellStyle name="Normal 5 8 2" xfId="1572"/>
    <cellStyle name="Normal 5 8 3" xfId="1157"/>
    <cellStyle name="Normal 5 9" xfId="383"/>
    <cellStyle name="Normal 5 9 2" xfId="1388"/>
    <cellStyle name="Normal 5 9 3" xfId="973"/>
    <cellStyle name="Normal 50" xfId="119"/>
    <cellStyle name="Normal 50 2" xfId="244"/>
    <cellStyle name="Normal 50 2 2" xfId="608"/>
    <cellStyle name="Normal 50 3" xfId="472"/>
    <cellStyle name="Normal 50 4" xfId="341"/>
    <cellStyle name="Normal 51" xfId="120"/>
    <cellStyle name="Normal 51 2" xfId="245"/>
    <cellStyle name="Normal 51 2 2" xfId="609"/>
    <cellStyle name="Normal 51 3" xfId="473"/>
    <cellStyle name="Normal 51 4" xfId="342"/>
    <cellStyle name="Normal 52" xfId="121"/>
    <cellStyle name="Normal 52 2" xfId="246"/>
    <cellStyle name="Normal 52 2 2" xfId="610"/>
    <cellStyle name="Normal 52 3" xfId="474"/>
    <cellStyle name="Normal 52 4" xfId="343"/>
    <cellStyle name="Normal 53" xfId="122"/>
    <cellStyle name="Normal 53 2" xfId="247"/>
    <cellStyle name="Normal 53 2 2" xfId="611"/>
    <cellStyle name="Normal 53 3" xfId="476"/>
    <cellStyle name="Normal 53 4" xfId="345"/>
    <cellStyle name="Normal 54" xfId="123"/>
    <cellStyle name="Normal 54 2" xfId="248"/>
    <cellStyle name="Normal 54 2 2" xfId="612"/>
    <cellStyle name="Normal 54 3" xfId="479"/>
    <cellStyle name="Normal 54 4" xfId="348"/>
    <cellStyle name="Normal 55" xfId="124"/>
    <cellStyle name="Normal 55 2" xfId="249"/>
    <cellStyle name="Normal 55 2 2" xfId="613"/>
    <cellStyle name="Normal 55 3" xfId="481"/>
    <cellStyle name="Normal 55 4" xfId="350"/>
    <cellStyle name="Normal 56" xfId="125"/>
    <cellStyle name="Normal 56 2" xfId="250"/>
    <cellStyle name="Normal 56 2 2" xfId="614"/>
    <cellStyle name="Normal 56 3" xfId="483"/>
    <cellStyle name="Normal 56 4" xfId="352"/>
    <cellStyle name="Normal 57" xfId="126"/>
    <cellStyle name="Normal 57 2" xfId="251"/>
    <cellStyle name="Normal 57 2 2" xfId="615"/>
    <cellStyle name="Normal 57 3" xfId="485"/>
    <cellStyle name="Normal 57 4" xfId="354"/>
    <cellStyle name="Normal 58" xfId="127"/>
    <cellStyle name="Normal 58 2" xfId="252"/>
    <cellStyle name="Normal 58 2 2" xfId="616"/>
    <cellStyle name="Normal 58 3" xfId="487"/>
    <cellStyle name="Normal 58 4" xfId="356"/>
    <cellStyle name="Normal 59" xfId="128"/>
    <cellStyle name="Normal 59 2" xfId="253"/>
    <cellStyle name="Normal 59 2 2" xfId="617"/>
    <cellStyle name="Normal 59 3" xfId="488"/>
    <cellStyle name="Normal 59 4" xfId="357"/>
    <cellStyle name="Normal 6" xfId="14"/>
    <cellStyle name="Normal 6 10" xfId="314"/>
    <cellStyle name="Normal 6 10 2" xfId="1375"/>
    <cellStyle name="Normal 6 10 3" xfId="960"/>
    <cellStyle name="Normal 6 11" xfId="1283"/>
    <cellStyle name="Normal 6 12" xfId="869"/>
    <cellStyle name="Normal 6 2" xfId="129"/>
    <cellStyle name="Normal 6 2 10" xfId="1306"/>
    <cellStyle name="Normal 6 2 11" xfId="892"/>
    <cellStyle name="Normal 6 2 2" xfId="130"/>
    <cellStyle name="Normal 6 2 2 10" xfId="893"/>
    <cellStyle name="Normal 6 2 2 2" xfId="131"/>
    <cellStyle name="Normal 6 2 2 2 2" xfId="254"/>
    <cellStyle name="Normal 6 2 2 2 2 2" xfId="780"/>
    <cellStyle name="Normal 6 2 2 2 2 2 2" xfId="1627"/>
    <cellStyle name="Normal 6 2 2 2 2 2 3" xfId="1212"/>
    <cellStyle name="Normal 6 2 2 2 2 3" xfId="621"/>
    <cellStyle name="Normal 6 2 2 2 2 3 2" xfId="1492"/>
    <cellStyle name="Normal 6 2 2 2 2 3 3" xfId="1077"/>
    <cellStyle name="Normal 6 2 2 2 2 4" xfId="1349"/>
    <cellStyle name="Normal 6 2 2 2 2 5" xfId="934"/>
    <cellStyle name="Normal 6 2 2 2 3" xfId="682"/>
    <cellStyle name="Normal 6 2 2 2 3 2" xfId="823"/>
    <cellStyle name="Normal 6 2 2 2 3 2 2" xfId="1669"/>
    <cellStyle name="Normal 6 2 2 2 3 2 3" xfId="1254"/>
    <cellStyle name="Normal 6 2 2 2 3 3" xfId="1534"/>
    <cellStyle name="Normal 6 2 2 2 3 4" xfId="1119"/>
    <cellStyle name="Normal 6 2 2 2 4" xfId="519"/>
    <cellStyle name="Normal 6 2 2 2 4 2" xfId="1445"/>
    <cellStyle name="Normal 6 2 2 2 4 3" xfId="1030"/>
    <cellStyle name="Normal 6 2 2 2 5" xfId="733"/>
    <cellStyle name="Normal 6 2 2 2 5 2" xfId="1580"/>
    <cellStyle name="Normal 6 2 2 2 5 3" xfId="1165"/>
    <cellStyle name="Normal 6 2 2 2 6" xfId="391"/>
    <cellStyle name="Normal 6 2 2 2 6 2" xfId="1396"/>
    <cellStyle name="Normal 6 2 2 2 6 3" xfId="981"/>
    <cellStyle name="Normal 6 2 2 2 7" xfId="1308"/>
    <cellStyle name="Normal 6 2 2 2 8" xfId="894"/>
    <cellStyle name="Normal 6 2 2 3" xfId="132"/>
    <cellStyle name="Normal 6 2 2 3 2" xfId="255"/>
    <cellStyle name="Normal 6 2 2 3 2 2" xfId="781"/>
    <cellStyle name="Normal 6 2 2 3 2 2 2" xfId="1628"/>
    <cellStyle name="Normal 6 2 2 3 2 2 3" xfId="1213"/>
    <cellStyle name="Normal 6 2 2 3 2 3" xfId="622"/>
    <cellStyle name="Normal 6 2 2 3 2 3 2" xfId="1493"/>
    <cellStyle name="Normal 6 2 2 3 2 3 3" xfId="1078"/>
    <cellStyle name="Normal 6 2 2 3 2 4" xfId="1350"/>
    <cellStyle name="Normal 6 2 2 3 2 5" xfId="935"/>
    <cellStyle name="Normal 6 2 2 3 3" xfId="683"/>
    <cellStyle name="Normal 6 2 2 3 3 2" xfId="824"/>
    <cellStyle name="Normal 6 2 2 3 3 2 2" xfId="1670"/>
    <cellStyle name="Normal 6 2 2 3 3 2 3" xfId="1255"/>
    <cellStyle name="Normal 6 2 2 3 3 3" xfId="1535"/>
    <cellStyle name="Normal 6 2 2 3 3 4" xfId="1120"/>
    <cellStyle name="Normal 6 2 2 3 4" xfId="520"/>
    <cellStyle name="Normal 6 2 2 3 4 2" xfId="1446"/>
    <cellStyle name="Normal 6 2 2 3 4 3" xfId="1031"/>
    <cellStyle name="Normal 6 2 2 3 5" xfId="734"/>
    <cellStyle name="Normal 6 2 2 3 5 2" xfId="1581"/>
    <cellStyle name="Normal 6 2 2 3 5 3" xfId="1166"/>
    <cellStyle name="Normal 6 2 2 3 6" xfId="392"/>
    <cellStyle name="Normal 6 2 2 3 6 2" xfId="1397"/>
    <cellStyle name="Normal 6 2 2 3 6 3" xfId="982"/>
    <cellStyle name="Normal 6 2 2 3 7" xfId="1309"/>
    <cellStyle name="Normal 6 2 2 3 8" xfId="895"/>
    <cellStyle name="Normal 6 2 2 4" xfId="256"/>
    <cellStyle name="Normal 6 2 2 4 2" xfId="779"/>
    <cellStyle name="Normal 6 2 2 4 2 2" xfId="1626"/>
    <cellStyle name="Normal 6 2 2 4 2 3" xfId="1211"/>
    <cellStyle name="Normal 6 2 2 4 3" xfId="620"/>
    <cellStyle name="Normal 6 2 2 4 3 2" xfId="1491"/>
    <cellStyle name="Normal 6 2 2 4 3 3" xfId="1076"/>
    <cellStyle name="Normal 6 2 2 4 4" xfId="1351"/>
    <cellStyle name="Normal 6 2 2 4 5" xfId="936"/>
    <cellStyle name="Normal 6 2 2 5" xfId="681"/>
    <cellStyle name="Normal 6 2 2 5 2" xfId="822"/>
    <cellStyle name="Normal 6 2 2 5 2 2" xfId="1668"/>
    <cellStyle name="Normal 6 2 2 5 2 3" xfId="1253"/>
    <cellStyle name="Normal 6 2 2 5 3" xfId="1533"/>
    <cellStyle name="Normal 6 2 2 5 4" xfId="1118"/>
    <cellStyle name="Normal 6 2 2 6" xfId="518"/>
    <cellStyle name="Normal 6 2 2 6 2" xfId="1444"/>
    <cellStyle name="Normal 6 2 2 6 3" xfId="1029"/>
    <cellStyle name="Normal 6 2 2 7" xfId="732"/>
    <cellStyle name="Normal 6 2 2 7 2" xfId="1579"/>
    <cellStyle name="Normal 6 2 2 7 3" xfId="1164"/>
    <cellStyle name="Normal 6 2 2 8" xfId="390"/>
    <cellStyle name="Normal 6 2 2 8 2" xfId="1395"/>
    <cellStyle name="Normal 6 2 2 8 3" xfId="980"/>
    <cellStyle name="Normal 6 2 2 9" xfId="1307"/>
    <cellStyle name="Normal 6 2 3" xfId="133"/>
    <cellStyle name="Normal 6 2 3 2" xfId="257"/>
    <cellStyle name="Normal 6 2 3 2 2" xfId="782"/>
    <cellStyle name="Normal 6 2 3 2 2 2" xfId="1629"/>
    <cellStyle name="Normal 6 2 3 2 2 3" xfId="1214"/>
    <cellStyle name="Normal 6 2 3 2 3" xfId="623"/>
    <cellStyle name="Normal 6 2 3 2 3 2" xfId="1494"/>
    <cellStyle name="Normal 6 2 3 2 3 3" xfId="1079"/>
    <cellStyle name="Normal 6 2 3 2 4" xfId="1352"/>
    <cellStyle name="Normal 6 2 3 2 5" xfId="937"/>
    <cellStyle name="Normal 6 2 3 3" xfId="684"/>
    <cellStyle name="Normal 6 2 3 3 2" xfId="825"/>
    <cellStyle name="Normal 6 2 3 3 2 2" xfId="1671"/>
    <cellStyle name="Normal 6 2 3 3 2 3" xfId="1256"/>
    <cellStyle name="Normal 6 2 3 3 3" xfId="1536"/>
    <cellStyle name="Normal 6 2 3 3 4" xfId="1121"/>
    <cellStyle name="Normal 6 2 3 4" xfId="521"/>
    <cellStyle name="Normal 6 2 3 4 2" xfId="1447"/>
    <cellStyle name="Normal 6 2 3 4 3" xfId="1032"/>
    <cellStyle name="Normal 6 2 3 5" xfId="735"/>
    <cellStyle name="Normal 6 2 3 5 2" xfId="1582"/>
    <cellStyle name="Normal 6 2 3 5 3" xfId="1167"/>
    <cellStyle name="Normal 6 2 3 6" xfId="393"/>
    <cellStyle name="Normal 6 2 3 6 2" xfId="1398"/>
    <cellStyle name="Normal 6 2 3 6 3" xfId="983"/>
    <cellStyle name="Normal 6 2 3 7" xfId="1310"/>
    <cellStyle name="Normal 6 2 3 8" xfId="896"/>
    <cellStyle name="Normal 6 2 4" xfId="134"/>
    <cellStyle name="Normal 6 2 4 2" xfId="258"/>
    <cellStyle name="Normal 6 2 4 2 2" xfId="783"/>
    <cellStyle name="Normal 6 2 4 2 2 2" xfId="1630"/>
    <cellStyle name="Normal 6 2 4 2 2 3" xfId="1215"/>
    <cellStyle name="Normal 6 2 4 2 3" xfId="624"/>
    <cellStyle name="Normal 6 2 4 2 3 2" xfId="1495"/>
    <cellStyle name="Normal 6 2 4 2 3 3" xfId="1080"/>
    <cellStyle name="Normal 6 2 4 2 4" xfId="1353"/>
    <cellStyle name="Normal 6 2 4 2 5" xfId="938"/>
    <cellStyle name="Normal 6 2 4 3" xfId="685"/>
    <cellStyle name="Normal 6 2 4 3 2" xfId="826"/>
    <cellStyle name="Normal 6 2 4 3 2 2" xfId="1672"/>
    <cellStyle name="Normal 6 2 4 3 2 3" xfId="1257"/>
    <cellStyle name="Normal 6 2 4 3 3" xfId="1537"/>
    <cellStyle name="Normal 6 2 4 3 4" xfId="1122"/>
    <cellStyle name="Normal 6 2 4 4" xfId="522"/>
    <cellStyle name="Normal 6 2 4 4 2" xfId="1448"/>
    <cellStyle name="Normal 6 2 4 4 3" xfId="1033"/>
    <cellStyle name="Normal 6 2 4 5" xfId="736"/>
    <cellStyle name="Normal 6 2 4 5 2" xfId="1583"/>
    <cellStyle name="Normal 6 2 4 5 3" xfId="1168"/>
    <cellStyle name="Normal 6 2 4 6" xfId="394"/>
    <cellStyle name="Normal 6 2 4 6 2" xfId="1399"/>
    <cellStyle name="Normal 6 2 4 6 3" xfId="984"/>
    <cellStyle name="Normal 6 2 4 7" xfId="1311"/>
    <cellStyle name="Normal 6 2 4 8" xfId="897"/>
    <cellStyle name="Normal 6 2 5" xfId="259"/>
    <cellStyle name="Normal 6 2 5 2" xfId="778"/>
    <cellStyle name="Normal 6 2 5 2 2" xfId="1625"/>
    <cellStyle name="Normal 6 2 5 2 3" xfId="1210"/>
    <cellStyle name="Normal 6 2 5 3" xfId="619"/>
    <cellStyle name="Normal 6 2 5 3 2" xfId="1490"/>
    <cellStyle name="Normal 6 2 5 3 3" xfId="1075"/>
    <cellStyle name="Normal 6 2 5 4" xfId="1354"/>
    <cellStyle name="Normal 6 2 5 5" xfId="939"/>
    <cellStyle name="Normal 6 2 6" xfId="680"/>
    <cellStyle name="Normal 6 2 6 2" xfId="821"/>
    <cellStyle name="Normal 6 2 6 2 2" xfId="1667"/>
    <cellStyle name="Normal 6 2 6 2 3" xfId="1252"/>
    <cellStyle name="Normal 6 2 6 3" xfId="1532"/>
    <cellStyle name="Normal 6 2 6 4" xfId="1117"/>
    <cellStyle name="Normal 6 2 7" xfId="517"/>
    <cellStyle name="Normal 6 2 7 2" xfId="1443"/>
    <cellStyle name="Normal 6 2 7 3" xfId="1028"/>
    <cellStyle name="Normal 6 2 8" xfId="731"/>
    <cellStyle name="Normal 6 2 8 2" xfId="1578"/>
    <cellStyle name="Normal 6 2 8 3" xfId="1163"/>
    <cellStyle name="Normal 6 2 9" xfId="389"/>
    <cellStyle name="Normal 6 2 9 2" xfId="1394"/>
    <cellStyle name="Normal 6 2 9 3" xfId="979"/>
    <cellStyle name="Normal 6 3" xfId="135"/>
    <cellStyle name="Normal 6 3 10" xfId="898"/>
    <cellStyle name="Normal 6 3 2" xfId="136"/>
    <cellStyle name="Normal 6 3 2 2" xfId="260"/>
    <cellStyle name="Normal 6 3 2 2 2" xfId="785"/>
    <cellStyle name="Normal 6 3 2 2 2 2" xfId="1632"/>
    <cellStyle name="Normal 6 3 2 2 2 3" xfId="1217"/>
    <cellStyle name="Normal 6 3 2 2 3" xfId="626"/>
    <cellStyle name="Normal 6 3 2 2 3 2" xfId="1497"/>
    <cellStyle name="Normal 6 3 2 2 3 3" xfId="1082"/>
    <cellStyle name="Normal 6 3 2 2 4" xfId="1355"/>
    <cellStyle name="Normal 6 3 2 2 5" xfId="940"/>
    <cellStyle name="Normal 6 3 2 3" xfId="687"/>
    <cellStyle name="Normal 6 3 2 3 2" xfId="828"/>
    <cellStyle name="Normal 6 3 2 3 2 2" xfId="1674"/>
    <cellStyle name="Normal 6 3 2 3 2 3" xfId="1259"/>
    <cellStyle name="Normal 6 3 2 3 3" xfId="1539"/>
    <cellStyle name="Normal 6 3 2 3 4" xfId="1124"/>
    <cellStyle name="Normal 6 3 2 4" xfId="524"/>
    <cellStyle name="Normal 6 3 2 4 2" xfId="1450"/>
    <cellStyle name="Normal 6 3 2 4 3" xfId="1035"/>
    <cellStyle name="Normal 6 3 2 5" xfId="738"/>
    <cellStyle name="Normal 6 3 2 5 2" xfId="1585"/>
    <cellStyle name="Normal 6 3 2 5 3" xfId="1170"/>
    <cellStyle name="Normal 6 3 2 6" xfId="396"/>
    <cellStyle name="Normal 6 3 2 6 2" xfId="1401"/>
    <cellStyle name="Normal 6 3 2 6 3" xfId="986"/>
    <cellStyle name="Normal 6 3 2 7" xfId="1313"/>
    <cellStyle name="Normal 6 3 2 8" xfId="899"/>
    <cellStyle name="Normal 6 3 3" xfId="137"/>
    <cellStyle name="Normal 6 3 3 2" xfId="261"/>
    <cellStyle name="Normal 6 3 3 2 2" xfId="786"/>
    <cellStyle name="Normal 6 3 3 2 2 2" xfId="1633"/>
    <cellStyle name="Normal 6 3 3 2 2 3" xfId="1218"/>
    <cellStyle name="Normal 6 3 3 2 3" xfId="627"/>
    <cellStyle name="Normal 6 3 3 2 3 2" xfId="1498"/>
    <cellStyle name="Normal 6 3 3 2 3 3" xfId="1083"/>
    <cellStyle name="Normal 6 3 3 2 4" xfId="1356"/>
    <cellStyle name="Normal 6 3 3 2 5" xfId="941"/>
    <cellStyle name="Normal 6 3 3 3" xfId="688"/>
    <cellStyle name="Normal 6 3 3 3 2" xfId="829"/>
    <cellStyle name="Normal 6 3 3 3 2 2" xfId="1675"/>
    <cellStyle name="Normal 6 3 3 3 2 3" xfId="1260"/>
    <cellStyle name="Normal 6 3 3 3 3" xfId="1540"/>
    <cellStyle name="Normal 6 3 3 3 4" xfId="1125"/>
    <cellStyle name="Normal 6 3 3 4" xfId="525"/>
    <cellStyle name="Normal 6 3 3 4 2" xfId="1451"/>
    <cellStyle name="Normal 6 3 3 4 3" xfId="1036"/>
    <cellStyle name="Normal 6 3 3 5" xfId="739"/>
    <cellStyle name="Normal 6 3 3 5 2" xfId="1586"/>
    <cellStyle name="Normal 6 3 3 5 3" xfId="1171"/>
    <cellStyle name="Normal 6 3 3 6" xfId="397"/>
    <cellStyle name="Normal 6 3 3 6 2" xfId="1402"/>
    <cellStyle name="Normal 6 3 3 6 3" xfId="987"/>
    <cellStyle name="Normal 6 3 3 7" xfId="1314"/>
    <cellStyle name="Normal 6 3 3 8" xfId="900"/>
    <cellStyle name="Normal 6 3 4" xfId="262"/>
    <cellStyle name="Normal 6 3 4 2" xfId="784"/>
    <cellStyle name="Normal 6 3 4 2 2" xfId="1631"/>
    <cellStyle name="Normal 6 3 4 2 3" xfId="1216"/>
    <cellStyle name="Normal 6 3 4 3" xfId="625"/>
    <cellStyle name="Normal 6 3 4 3 2" xfId="1496"/>
    <cellStyle name="Normal 6 3 4 3 3" xfId="1081"/>
    <cellStyle name="Normal 6 3 4 4" xfId="1357"/>
    <cellStyle name="Normal 6 3 4 5" xfId="942"/>
    <cellStyle name="Normal 6 3 5" xfId="686"/>
    <cellStyle name="Normal 6 3 5 2" xfId="827"/>
    <cellStyle name="Normal 6 3 5 2 2" xfId="1673"/>
    <cellStyle name="Normal 6 3 5 2 3" xfId="1258"/>
    <cellStyle name="Normal 6 3 5 3" xfId="1538"/>
    <cellStyle name="Normal 6 3 5 4" xfId="1123"/>
    <cellStyle name="Normal 6 3 6" xfId="523"/>
    <cellStyle name="Normal 6 3 6 2" xfId="1449"/>
    <cellStyle name="Normal 6 3 6 3" xfId="1034"/>
    <cellStyle name="Normal 6 3 7" xfId="737"/>
    <cellStyle name="Normal 6 3 7 2" xfId="1584"/>
    <cellStyle name="Normal 6 3 7 3" xfId="1169"/>
    <cellStyle name="Normal 6 3 8" xfId="395"/>
    <cellStyle name="Normal 6 3 8 2" xfId="1400"/>
    <cellStyle name="Normal 6 3 8 3" xfId="985"/>
    <cellStyle name="Normal 6 3 9" xfId="1312"/>
    <cellStyle name="Normal 6 4" xfId="138"/>
    <cellStyle name="Normal 6 4 2" xfId="263"/>
    <cellStyle name="Normal 6 4 2 2" xfId="787"/>
    <cellStyle name="Normal 6 4 2 2 2" xfId="1634"/>
    <cellStyle name="Normal 6 4 2 2 3" xfId="1219"/>
    <cellStyle name="Normal 6 4 2 3" xfId="628"/>
    <cellStyle name="Normal 6 4 2 3 2" xfId="1499"/>
    <cellStyle name="Normal 6 4 2 3 3" xfId="1084"/>
    <cellStyle name="Normal 6 4 2 4" xfId="1358"/>
    <cellStyle name="Normal 6 4 2 5" xfId="943"/>
    <cellStyle name="Normal 6 4 3" xfId="689"/>
    <cellStyle name="Normal 6 4 3 2" xfId="830"/>
    <cellStyle name="Normal 6 4 3 2 2" xfId="1676"/>
    <cellStyle name="Normal 6 4 3 2 3" xfId="1261"/>
    <cellStyle name="Normal 6 4 3 3" xfId="1541"/>
    <cellStyle name="Normal 6 4 3 4" xfId="1126"/>
    <cellStyle name="Normal 6 4 4" xfId="526"/>
    <cellStyle name="Normal 6 4 4 2" xfId="1452"/>
    <cellStyle name="Normal 6 4 4 3" xfId="1037"/>
    <cellStyle name="Normal 6 4 5" xfId="740"/>
    <cellStyle name="Normal 6 4 5 2" xfId="1587"/>
    <cellStyle name="Normal 6 4 5 3" xfId="1172"/>
    <cellStyle name="Normal 6 4 6" xfId="398"/>
    <cellStyle name="Normal 6 4 6 2" xfId="1403"/>
    <cellStyle name="Normal 6 4 6 3" xfId="988"/>
    <cellStyle name="Normal 6 4 7" xfId="1315"/>
    <cellStyle name="Normal 6 4 8" xfId="901"/>
    <cellStyle name="Normal 6 5" xfId="139"/>
    <cellStyle name="Normal 6 5 2" xfId="264"/>
    <cellStyle name="Normal 6 5 2 2" xfId="788"/>
    <cellStyle name="Normal 6 5 2 2 2" xfId="1635"/>
    <cellStyle name="Normal 6 5 2 2 3" xfId="1220"/>
    <cellStyle name="Normal 6 5 2 3" xfId="629"/>
    <cellStyle name="Normal 6 5 2 3 2" xfId="1500"/>
    <cellStyle name="Normal 6 5 2 3 3" xfId="1085"/>
    <cellStyle name="Normal 6 5 2 4" xfId="1359"/>
    <cellStyle name="Normal 6 5 2 5" xfId="944"/>
    <cellStyle name="Normal 6 5 3" xfId="690"/>
    <cellStyle name="Normal 6 5 3 2" xfId="831"/>
    <cellStyle name="Normal 6 5 3 2 2" xfId="1677"/>
    <cellStyle name="Normal 6 5 3 2 3" xfId="1262"/>
    <cellStyle name="Normal 6 5 3 3" xfId="1542"/>
    <cellStyle name="Normal 6 5 3 4" xfId="1127"/>
    <cellStyle name="Normal 6 5 4" xfId="527"/>
    <cellStyle name="Normal 6 5 4 2" xfId="1453"/>
    <cellStyle name="Normal 6 5 4 3" xfId="1038"/>
    <cellStyle name="Normal 6 5 5" xfId="741"/>
    <cellStyle name="Normal 6 5 5 2" xfId="1588"/>
    <cellStyle name="Normal 6 5 5 3" xfId="1173"/>
    <cellStyle name="Normal 6 5 6" xfId="399"/>
    <cellStyle name="Normal 6 5 6 2" xfId="1404"/>
    <cellStyle name="Normal 6 5 6 3" xfId="989"/>
    <cellStyle name="Normal 6 5 7" xfId="1316"/>
    <cellStyle name="Normal 6 5 8" xfId="902"/>
    <cellStyle name="Normal 6 6" xfId="265"/>
    <cellStyle name="Normal 6 6 2" xfId="777"/>
    <cellStyle name="Normal 6 6 2 2" xfId="1624"/>
    <cellStyle name="Normal 6 6 2 3" xfId="1209"/>
    <cellStyle name="Normal 6 6 3" xfId="618"/>
    <cellStyle name="Normal 6 6 3 2" xfId="1489"/>
    <cellStyle name="Normal 6 6 3 3" xfId="1074"/>
    <cellStyle name="Normal 6 6 4" xfId="1360"/>
    <cellStyle name="Normal 6 6 5" xfId="945"/>
    <cellStyle name="Normal 6 7" xfId="661"/>
    <cellStyle name="Normal 6 7 2" xfId="803"/>
    <cellStyle name="Normal 6 7 2 2" xfId="1649"/>
    <cellStyle name="Normal 6 7 2 3" xfId="1234"/>
    <cellStyle name="Normal 6 7 3" xfId="1514"/>
    <cellStyle name="Normal 6 7 4" xfId="1099"/>
    <cellStyle name="Normal 6 8" xfId="446"/>
    <cellStyle name="Normal 6 8 2" xfId="1424"/>
    <cellStyle name="Normal 6 8 3" xfId="1009"/>
    <cellStyle name="Normal 6 9" xfId="712"/>
    <cellStyle name="Normal 6 9 2" xfId="1559"/>
    <cellStyle name="Normal 6 9 3" xfId="1144"/>
    <cellStyle name="Normal 60" xfId="140"/>
    <cellStyle name="Normal 60 2" xfId="266"/>
    <cellStyle name="Normal 60 2 2" xfId="630"/>
    <cellStyle name="Normal 60 3" xfId="490"/>
    <cellStyle name="Normal 60 4" xfId="359"/>
    <cellStyle name="Normal 61" xfId="141"/>
    <cellStyle name="Normal 61 2" xfId="267"/>
    <cellStyle name="Normal 61 2 2" xfId="631"/>
    <cellStyle name="Normal 61 3" xfId="491"/>
    <cellStyle name="Normal 61 4" xfId="360"/>
    <cellStyle name="Normal 62" xfId="142"/>
    <cellStyle name="Normal 62 2" xfId="268"/>
    <cellStyle name="Normal 62 2 2" xfId="632"/>
    <cellStyle name="Normal 62 3" xfId="492"/>
    <cellStyle name="Normal 62 4" xfId="361"/>
    <cellStyle name="Normal 63" xfId="143"/>
    <cellStyle name="Normal 63 2" xfId="269"/>
    <cellStyle name="Normal 63 2 2" xfId="633"/>
    <cellStyle name="Normal 63 3" xfId="494"/>
    <cellStyle name="Normal 63 4" xfId="363"/>
    <cellStyle name="Normal 64" xfId="144"/>
    <cellStyle name="Normal 64 2" xfId="270"/>
    <cellStyle name="Normal 64 2 2" xfId="431"/>
    <cellStyle name="Normal 64 3" xfId="551"/>
    <cellStyle name="Normal 64 3 2" xfId="1467"/>
    <cellStyle name="Normal 64 3 3" xfId="1052"/>
    <cellStyle name="Normal 64 4" xfId="755"/>
    <cellStyle name="Normal 64 4 2" xfId="1602"/>
    <cellStyle name="Normal 64 4 3" xfId="1187"/>
    <cellStyle name="Normal 64 5" xfId="430"/>
    <cellStyle name="Normal 64 5 2" xfId="1418"/>
    <cellStyle name="Normal 64 5 3" xfId="1003"/>
    <cellStyle name="Normal 65" xfId="145"/>
    <cellStyle name="Normal 65 2" xfId="706"/>
    <cellStyle name="Normal 65 2 2" xfId="847"/>
    <cellStyle name="Normal 65 2 2 2" xfId="1693"/>
    <cellStyle name="Normal 65 2 2 3" xfId="1278"/>
    <cellStyle name="Normal 65 2 3" xfId="1558"/>
    <cellStyle name="Normal 65 2 4" xfId="1143"/>
    <cellStyle name="Normal 65 3" xfId="432"/>
    <cellStyle name="Normal 65 4" xfId="1317"/>
    <cellStyle name="Normal 65 5" xfId="903"/>
    <cellStyle name="Normal 66" xfId="271"/>
    <cellStyle name="Normal 66 2" xfId="310"/>
    <cellStyle name="Normal 66 3" xfId="553"/>
    <cellStyle name="Normal 66 3 2" xfId="1469"/>
    <cellStyle name="Normal 66 3 3" xfId="1054"/>
    <cellStyle name="Normal 66 4" xfId="757"/>
    <cellStyle name="Normal 66 4 2" xfId="1604"/>
    <cellStyle name="Normal 66 4 3" xfId="1189"/>
    <cellStyle name="Normal 66 5" xfId="1361"/>
    <cellStyle name="Normal 66 6" xfId="946"/>
    <cellStyle name="Normal 67" xfId="272"/>
    <cellStyle name="Normal 67 2" xfId="758"/>
    <cellStyle name="Normal 67 2 2" xfId="1605"/>
    <cellStyle name="Normal 67 2 3" xfId="1190"/>
    <cellStyle name="Normal 67 3" xfId="554"/>
    <cellStyle name="Normal 67 3 2" xfId="1470"/>
    <cellStyle name="Normal 67 3 3" xfId="1055"/>
    <cellStyle name="Normal 67 4" xfId="1362"/>
    <cellStyle name="Normal 67 5" xfId="947"/>
    <cellStyle name="Normal 68" xfId="673"/>
    <cellStyle name="Normal 69" xfId="444"/>
    <cellStyle name="Normal 7" xfId="15"/>
    <cellStyle name="Normal 7 2" xfId="146"/>
    <cellStyle name="Normal 7 2 2" xfId="273"/>
    <cellStyle name="Normal 7 2 2 2" xfId="635"/>
    <cellStyle name="Normal 7 2 3" xfId="528"/>
    <cellStyle name="Normal 7 2 4" xfId="400"/>
    <cellStyle name="Normal 7 3" xfId="274"/>
    <cellStyle name="Normal 7 3 2" xfId="634"/>
    <cellStyle name="Normal 7 4" xfId="447"/>
    <cellStyle name="Normal 7 5" xfId="315"/>
    <cellStyle name="Normal 70" xfId="547"/>
    <cellStyle name="Normal 71" xfId="707"/>
    <cellStyle name="Normal 72" xfId="708"/>
    <cellStyle name="Normal 73" xfId="445"/>
    <cellStyle name="Normal 74" xfId="710"/>
    <cellStyle name="Normal 75" xfId="709"/>
    <cellStyle name="Normal 76" xfId="711"/>
    <cellStyle name="Normal 77" xfId="791"/>
    <cellStyle name="Normal 78" xfId="848"/>
    <cellStyle name="Normal 79" xfId="849"/>
    <cellStyle name="Normal 8" xfId="147"/>
    <cellStyle name="Normal 8 2" xfId="148"/>
    <cellStyle name="Normal 8 2 2" xfId="275"/>
    <cellStyle name="Normal 8 2 2 2" xfId="637"/>
    <cellStyle name="Normal 8 2 3" xfId="530"/>
    <cellStyle name="Normal 8 2 4" xfId="402"/>
    <cellStyle name="Normal 8 3" xfId="276"/>
    <cellStyle name="Normal 8 3 2" xfId="636"/>
    <cellStyle name="Normal 8 4" xfId="529"/>
    <cellStyle name="Normal 8 5" xfId="401"/>
    <cellStyle name="Normal 80" xfId="311"/>
    <cellStyle name="Normal 81" xfId="319"/>
    <cellStyle name="Normal 82" xfId="863"/>
    <cellStyle name="Normal 83" xfId="407"/>
    <cellStyle name="Normal 84" xfId="861"/>
    <cellStyle name="Normal 85" xfId="438"/>
    <cellStyle name="Normal 86" xfId="860"/>
    <cellStyle name="Normal 87" xfId="867"/>
    <cellStyle name="Normal 88" xfId="857"/>
    <cellStyle name="Normal 89" xfId="858"/>
    <cellStyle name="Normal 9" xfId="149"/>
    <cellStyle name="Normal 9 2" xfId="277"/>
    <cellStyle name="Normal 9 2 2" xfId="638"/>
    <cellStyle name="Normal 9 3" xfId="448"/>
    <cellStyle name="Normal 9 4" xfId="316"/>
    <cellStyle name="Normal 90" xfId="856"/>
    <cellStyle name="Normal 91" xfId="404"/>
    <cellStyle name="Normal 92" xfId="855"/>
    <cellStyle name="Normal 93" xfId="853"/>
    <cellStyle name="Normal 94" xfId="375"/>
    <cellStyle name="Normal 95" xfId="865"/>
    <cellStyle name="Normal 96" xfId="854"/>
    <cellStyle name="Normal 97" xfId="862"/>
    <cellStyle name="Normal 98" xfId="859"/>
    <cellStyle name="Normal 99" xfId="866"/>
    <cellStyle name="Normal1" xfId="150"/>
    <cellStyle name="Normal2" xfId="151"/>
    <cellStyle name="Normal3" xfId="152"/>
    <cellStyle name="Percent [2]" xfId="153"/>
    <cellStyle name="Percent [2] 2" xfId="278"/>
    <cellStyle name="Percent [2] 2 2" xfId="639"/>
    <cellStyle name="Percent [2] 3" xfId="531"/>
    <cellStyle name="Percent [2] 4" xfId="403"/>
    <cellStyle name="Percent_Sheet1" xfId="154"/>
    <cellStyle name="Percentual" xfId="155"/>
    <cellStyle name="Ponto" xfId="156"/>
    <cellStyle name="Porcentagem" xfId="1698" builtinId="5"/>
    <cellStyle name="Porcentagem 2" xfId="16"/>
    <cellStyle name="Porcentagem 2 2" xfId="190"/>
    <cellStyle name="Porcentagem 2 2 2" xfId="427"/>
    <cellStyle name="Porcentagem 2 3" xfId="317"/>
    <cellStyle name="Porcentagem 3" xfId="17"/>
    <cellStyle name="Porcentagem 3 2" xfId="157"/>
    <cellStyle name="Porcentagem 3 3" xfId="279"/>
    <cellStyle name="Porcentagem 4" xfId="18"/>
    <cellStyle name="Porcentagem 4 2" xfId="19"/>
    <cellStyle name="Porcentagem 4 2 2" xfId="158"/>
    <cellStyle name="Porcentagem 4 2 2 2" xfId="425"/>
    <cellStyle name="Porcentagem 4 2 3" xfId="309"/>
    <cellStyle name="Porcentagem 5" xfId="159"/>
    <cellStyle name="Porcentagem 6" xfId="160"/>
    <cellStyle name="Porcentagem 6 2" xfId="161"/>
    <cellStyle name="Porcentagem 6 2 2" xfId="280"/>
    <cellStyle name="Porcentagem 6 2 2 2" xfId="790"/>
    <cellStyle name="Porcentagem 6 2 2 2 2" xfId="1637"/>
    <cellStyle name="Porcentagem 6 2 2 2 3" xfId="1222"/>
    <cellStyle name="Porcentagem 6 2 2 3" xfId="641"/>
    <cellStyle name="Porcentagem 6 2 2 3 2" xfId="1502"/>
    <cellStyle name="Porcentagem 6 2 2 3 3" xfId="1087"/>
    <cellStyle name="Porcentagem 6 2 2 4" xfId="1363"/>
    <cellStyle name="Porcentagem 6 2 2 5" xfId="948"/>
    <cellStyle name="Porcentagem 6 2 3" xfId="692"/>
    <cellStyle name="Porcentagem 6 2 3 2" xfId="833"/>
    <cellStyle name="Porcentagem 6 2 3 2 2" xfId="1679"/>
    <cellStyle name="Porcentagem 6 2 3 2 3" xfId="1264"/>
    <cellStyle name="Porcentagem 6 2 3 3" xfId="1544"/>
    <cellStyle name="Porcentagem 6 2 3 4" xfId="1129"/>
    <cellStyle name="Porcentagem 6 2 4" xfId="533"/>
    <cellStyle name="Porcentagem 6 2 4 2" xfId="1455"/>
    <cellStyle name="Porcentagem 6 2 4 3" xfId="1040"/>
    <cellStyle name="Porcentagem 6 2 5" xfId="743"/>
    <cellStyle name="Porcentagem 6 2 5 2" xfId="1590"/>
    <cellStyle name="Porcentagem 6 2 5 3" xfId="1175"/>
    <cellStyle name="Porcentagem 6 2 6" xfId="406"/>
    <cellStyle name="Porcentagem 6 2 6 2" xfId="1406"/>
    <cellStyle name="Porcentagem 6 2 6 3" xfId="991"/>
    <cellStyle name="Porcentagem 6 2 7" xfId="1319"/>
    <cellStyle name="Porcentagem 6 2 8" xfId="905"/>
    <cellStyle name="Porcentagem 6 3" xfId="281"/>
    <cellStyle name="Porcentagem 6 3 2" xfId="789"/>
    <cellStyle name="Porcentagem 6 3 2 2" xfId="1636"/>
    <cellStyle name="Porcentagem 6 3 2 3" xfId="1221"/>
    <cellStyle name="Porcentagem 6 3 3" xfId="640"/>
    <cellStyle name="Porcentagem 6 3 3 2" xfId="1501"/>
    <cellStyle name="Porcentagem 6 3 3 3" xfId="1086"/>
    <cellStyle name="Porcentagem 6 3 4" xfId="1364"/>
    <cellStyle name="Porcentagem 6 3 5" xfId="949"/>
    <cellStyle name="Porcentagem 6 4" xfId="691"/>
    <cellStyle name="Porcentagem 6 4 2" xfId="832"/>
    <cellStyle name="Porcentagem 6 4 2 2" xfId="1678"/>
    <cellStyle name="Porcentagem 6 4 2 3" xfId="1263"/>
    <cellStyle name="Porcentagem 6 4 3" xfId="1543"/>
    <cellStyle name="Porcentagem 6 4 4" xfId="1128"/>
    <cellStyle name="Porcentagem 6 5" xfId="532"/>
    <cellStyle name="Porcentagem 6 5 2" xfId="1454"/>
    <cellStyle name="Porcentagem 6 5 3" xfId="1039"/>
    <cellStyle name="Porcentagem 6 6" xfId="742"/>
    <cellStyle name="Porcentagem 6 6 2" xfId="1589"/>
    <cellStyle name="Porcentagem 6 6 3" xfId="1174"/>
    <cellStyle name="Porcentagem 6 7" xfId="405"/>
    <cellStyle name="Porcentagem 6 7 2" xfId="1405"/>
    <cellStyle name="Porcentagem 6 7 3" xfId="990"/>
    <cellStyle name="Porcentagem 6 8" xfId="1318"/>
    <cellStyle name="Porcentagem 6 9" xfId="904"/>
    <cellStyle name="Porcentagem 7" xfId="162"/>
    <cellStyle name="Porcentagem 7 2" xfId="433"/>
    <cellStyle name="Result" xfId="20"/>
    <cellStyle name="Result2" xfId="21"/>
    <cellStyle name="Sep. milhar [0]" xfId="163"/>
    <cellStyle name="Separador de m" xfId="164"/>
    <cellStyle name="Separador de milhares 2" xfId="22"/>
    <cellStyle name="Separador de milhares 2 2" xfId="165"/>
    <cellStyle name="Separador de milhares 2 2 2" xfId="282"/>
    <cellStyle name="Separador de milhares 2 2 2 2" xfId="643"/>
    <cellStyle name="Separador de milhares 2 2 3" xfId="534"/>
    <cellStyle name="Separador de milhares 2 2 4" xfId="408"/>
    <cellStyle name="Separador de milhares 2 3" xfId="283"/>
    <cellStyle name="Separador de milhares 2 3 2" xfId="642"/>
    <cellStyle name="Separador de milhares 2 4" xfId="449"/>
    <cellStyle name="Separador de milhares 2 5" xfId="318"/>
    <cellStyle name="Separador de milhares 3" xfId="166"/>
    <cellStyle name="Separador de milhares 4" xfId="23"/>
    <cellStyle name="Sepavador de milhares [0]_Pasta2" xfId="167"/>
    <cellStyle name="Standard_RP100_01 (metr.)" xfId="168"/>
    <cellStyle name="Titulo1" xfId="169"/>
    <cellStyle name="Titulo2" xfId="170"/>
    <cellStyle name="Vírgula" xfId="24" builtinId="3"/>
    <cellStyle name="Vírgula 10" xfId="171"/>
    <cellStyle name="Vírgula 10 2" xfId="172"/>
    <cellStyle name="Vírgula 10 2 2" xfId="284"/>
    <cellStyle name="Vírgula 10 2 2 2" xfId="793"/>
    <cellStyle name="Vírgula 10 2 2 2 2" xfId="1639"/>
    <cellStyle name="Vírgula 10 2 2 2 3" xfId="1224"/>
    <cellStyle name="Vírgula 10 2 2 3" xfId="645"/>
    <cellStyle name="Vírgula 10 2 2 3 2" xfId="1504"/>
    <cellStyle name="Vírgula 10 2 2 3 3" xfId="1089"/>
    <cellStyle name="Vírgula 10 2 2 4" xfId="1365"/>
    <cellStyle name="Vírgula 10 2 2 5" xfId="950"/>
    <cellStyle name="Vírgula 10 2 3" xfId="694"/>
    <cellStyle name="Vírgula 10 2 3 2" xfId="835"/>
    <cellStyle name="Vírgula 10 2 3 2 2" xfId="1681"/>
    <cellStyle name="Vírgula 10 2 3 2 3" xfId="1266"/>
    <cellStyle name="Vírgula 10 2 3 3" xfId="1546"/>
    <cellStyle name="Vírgula 10 2 3 4" xfId="1131"/>
    <cellStyle name="Vírgula 10 2 4" xfId="536"/>
    <cellStyle name="Vírgula 10 2 4 2" xfId="1457"/>
    <cellStyle name="Vírgula 10 2 4 3" xfId="1042"/>
    <cellStyle name="Vírgula 10 2 5" xfId="745"/>
    <cellStyle name="Vírgula 10 2 5 2" xfId="1592"/>
    <cellStyle name="Vírgula 10 2 5 3" xfId="1177"/>
    <cellStyle name="Vírgula 10 2 6" xfId="410"/>
    <cellStyle name="Vírgula 10 2 6 2" xfId="1408"/>
    <cellStyle name="Vírgula 10 2 6 3" xfId="993"/>
    <cellStyle name="Vírgula 10 2 7" xfId="1321"/>
    <cellStyle name="Vírgula 10 2 8" xfId="907"/>
    <cellStyle name="Vírgula 10 3" xfId="285"/>
    <cellStyle name="Vírgula 10 3 2" xfId="792"/>
    <cellStyle name="Vírgula 10 3 2 2" xfId="1638"/>
    <cellStyle name="Vírgula 10 3 2 3" xfId="1223"/>
    <cellStyle name="Vírgula 10 3 3" xfId="644"/>
    <cellStyle name="Vírgula 10 3 3 2" xfId="1503"/>
    <cellStyle name="Vírgula 10 3 3 3" xfId="1088"/>
    <cellStyle name="Vírgula 10 3 4" xfId="1366"/>
    <cellStyle name="Vírgula 10 3 5" xfId="951"/>
    <cellStyle name="Vírgula 10 4" xfId="693"/>
    <cellStyle name="Vírgula 10 4 2" xfId="834"/>
    <cellStyle name="Vírgula 10 4 2 2" xfId="1680"/>
    <cellStyle name="Vírgula 10 4 2 3" xfId="1265"/>
    <cellStyle name="Vírgula 10 4 3" xfId="1545"/>
    <cellStyle name="Vírgula 10 4 4" xfId="1130"/>
    <cellStyle name="Vírgula 10 5" xfId="535"/>
    <cellStyle name="Vírgula 10 5 2" xfId="1456"/>
    <cellStyle name="Vírgula 10 5 3" xfId="1041"/>
    <cellStyle name="Vírgula 10 6" xfId="744"/>
    <cellStyle name="Vírgula 10 6 2" xfId="1591"/>
    <cellStyle name="Vírgula 10 6 3" xfId="1176"/>
    <cellStyle name="Vírgula 10 7" xfId="409"/>
    <cellStyle name="Vírgula 10 7 2" xfId="1407"/>
    <cellStyle name="Vírgula 10 7 3" xfId="992"/>
    <cellStyle name="Vírgula 10 8" xfId="1320"/>
    <cellStyle name="Vírgula 10 9" xfId="906"/>
    <cellStyle name="Vírgula 11" xfId="173"/>
    <cellStyle name="Vírgula 11 2" xfId="286"/>
    <cellStyle name="Vírgula 11 2 2" xfId="646"/>
    <cellStyle name="Vírgula 11 3" xfId="537"/>
    <cellStyle name="Vírgula 11 4" xfId="411"/>
    <cellStyle name="Vírgula 12" xfId="174"/>
    <cellStyle name="Vírgula 12 2" xfId="287"/>
    <cellStyle name="Vírgula 12 2 2" xfId="794"/>
    <cellStyle name="Vírgula 12 2 2 2" xfId="1640"/>
    <cellStyle name="Vírgula 12 2 2 3" xfId="1225"/>
    <cellStyle name="Vírgula 12 2 3" xfId="647"/>
    <cellStyle name="Vírgula 12 2 3 2" xfId="1505"/>
    <cellStyle name="Vírgula 12 2 3 3" xfId="1090"/>
    <cellStyle name="Vírgula 12 2 4" xfId="1367"/>
    <cellStyle name="Vírgula 12 2 5" xfId="952"/>
    <cellStyle name="Vírgula 12 3" xfId="695"/>
    <cellStyle name="Vírgula 12 3 2" xfId="836"/>
    <cellStyle name="Vírgula 12 3 2 2" xfId="1682"/>
    <cellStyle name="Vírgula 12 3 2 3" xfId="1267"/>
    <cellStyle name="Vírgula 12 3 3" xfId="1547"/>
    <cellStyle name="Vírgula 12 3 4" xfId="1132"/>
    <cellStyle name="Vírgula 12 4" xfId="538"/>
    <cellStyle name="Vírgula 12 4 2" xfId="1458"/>
    <cellStyle name="Vírgula 12 4 3" xfId="1043"/>
    <cellStyle name="Vírgula 12 5" xfId="746"/>
    <cellStyle name="Vírgula 12 5 2" xfId="1593"/>
    <cellStyle name="Vírgula 12 5 3" xfId="1178"/>
    <cellStyle name="Vírgula 12 6" xfId="412"/>
    <cellStyle name="Vírgula 12 6 2" xfId="1409"/>
    <cellStyle name="Vírgula 12 6 3" xfId="994"/>
    <cellStyle name="Vírgula 12 7" xfId="1322"/>
    <cellStyle name="Vírgula 12 8" xfId="908"/>
    <cellStyle name="Vírgula 13" xfId="175"/>
    <cellStyle name="Vírgula 13 2" xfId="434"/>
    <cellStyle name="Vírgula 14" xfId="304"/>
    <cellStyle name="Vírgula 14 2" xfId="1373"/>
    <cellStyle name="Vírgula 14 3" xfId="958"/>
    <cellStyle name="Vírgula 2" xfId="25"/>
    <cellStyle name="Vírgula 2 2" xfId="176"/>
    <cellStyle name="Vírgula 2 2 2" xfId="288"/>
    <cellStyle name="Vírgula 2 2 2 2" xfId="437"/>
    <cellStyle name="Vírgula 2 2 3" xfId="413"/>
    <cellStyle name="Vírgula 2 3" xfId="289"/>
    <cellStyle name="Vírgula 2 3 2" xfId="426"/>
    <cellStyle name="Vírgula 2 4" xfId="290"/>
    <cellStyle name="Vírgula 2 5" xfId="303"/>
    <cellStyle name="Vírgula 3" xfId="26"/>
    <cellStyle name="Vírgula 3 2" xfId="27"/>
    <cellStyle name="Vírgula 3 2 2" xfId="291"/>
    <cellStyle name="Vírgula 3 2 2 2" xfId="649"/>
    <cellStyle name="Vírgula 3 2 3" xfId="306"/>
    <cellStyle name="Vírgula 3 3" xfId="292"/>
    <cellStyle name="Vírgula 3 3 2" xfId="648"/>
    <cellStyle name="Vírgula 3 4" xfId="450"/>
    <cellStyle name="Vírgula 4" xfId="28"/>
    <cellStyle name="Vírgula 5" xfId="29"/>
    <cellStyle name="Vírgula 5 2" xfId="30"/>
    <cellStyle name="Vírgula 5 2 2" xfId="177"/>
    <cellStyle name="Vírgula 5 2 2 2" xfId="424"/>
    <cellStyle name="Vírgula 5 2 3" xfId="305"/>
    <cellStyle name="Vírgula 5 3" xfId="302"/>
    <cellStyle name="Vírgula 6" xfId="31"/>
    <cellStyle name="Vírgula 6 2" xfId="178"/>
    <cellStyle name="Vírgula 6 2 2" xfId="293"/>
    <cellStyle name="Vírgula 6 2 2 2" xfId="651"/>
    <cellStyle name="Vírgula 6 2 3" xfId="540"/>
    <cellStyle name="Vírgula 6 2 4" xfId="415"/>
    <cellStyle name="Vírgula 6 3" xfId="179"/>
    <cellStyle name="Vírgula 6 3 2" xfId="294"/>
    <cellStyle name="Vírgula 6 3 2 2" xfId="652"/>
    <cellStyle name="Vírgula 6 3 3" xfId="548"/>
    <cellStyle name="Vírgula 6 3 4" xfId="422"/>
    <cellStyle name="Vírgula 6 4" xfId="295"/>
    <cellStyle name="Vírgula 6 4 2" xfId="650"/>
    <cellStyle name="Vírgula 6 5" xfId="539"/>
    <cellStyle name="Vírgula 6 6" xfId="414"/>
    <cellStyle name="Vírgula 7" xfId="180"/>
    <cellStyle name="Vírgula 7 10" xfId="1323"/>
    <cellStyle name="Vírgula 7 11" xfId="909"/>
    <cellStyle name="Vírgula 7 2" xfId="181"/>
    <cellStyle name="Vírgula 7 2 2" xfId="296"/>
    <cellStyle name="Vírgula 7 2 2 2" xfId="796"/>
    <cellStyle name="Vírgula 7 2 2 2 2" xfId="1642"/>
    <cellStyle name="Vírgula 7 2 2 2 3" xfId="1227"/>
    <cellStyle name="Vírgula 7 2 2 3" xfId="654"/>
    <cellStyle name="Vírgula 7 2 2 3 2" xfId="1507"/>
    <cellStyle name="Vírgula 7 2 2 3 3" xfId="1092"/>
    <cellStyle name="Vírgula 7 2 2 4" xfId="1368"/>
    <cellStyle name="Vírgula 7 2 2 5" xfId="953"/>
    <cellStyle name="Vírgula 7 2 3" xfId="697"/>
    <cellStyle name="Vírgula 7 2 3 2" xfId="838"/>
    <cellStyle name="Vírgula 7 2 3 2 2" xfId="1684"/>
    <cellStyle name="Vírgula 7 2 3 2 3" xfId="1269"/>
    <cellStyle name="Vírgula 7 2 3 3" xfId="1549"/>
    <cellStyle name="Vírgula 7 2 3 4" xfId="1134"/>
    <cellStyle name="Vírgula 7 2 4" xfId="542"/>
    <cellStyle name="Vírgula 7 2 4 2" xfId="1460"/>
    <cellStyle name="Vírgula 7 2 4 3" xfId="1045"/>
    <cellStyle name="Vírgula 7 2 5" xfId="748"/>
    <cellStyle name="Vírgula 7 2 5 2" xfId="1595"/>
    <cellStyle name="Vírgula 7 2 5 3" xfId="1180"/>
    <cellStyle name="Vírgula 7 2 6" xfId="417"/>
    <cellStyle name="Vírgula 7 2 6 2" xfId="1411"/>
    <cellStyle name="Vírgula 7 2 6 3" xfId="996"/>
    <cellStyle name="Vírgula 7 2 7" xfId="1324"/>
    <cellStyle name="Vírgula 7 2 8" xfId="910"/>
    <cellStyle name="Vírgula 7 3" xfId="182"/>
    <cellStyle name="Vírgula 7 3 2" xfId="297"/>
    <cellStyle name="Vírgula 7 3 2 2" xfId="797"/>
    <cellStyle name="Vírgula 7 3 2 2 2" xfId="1643"/>
    <cellStyle name="Vírgula 7 3 2 2 3" xfId="1228"/>
    <cellStyle name="Vírgula 7 3 2 3" xfId="655"/>
    <cellStyle name="Vírgula 7 3 2 3 2" xfId="1508"/>
    <cellStyle name="Vírgula 7 3 2 3 3" xfId="1093"/>
    <cellStyle name="Vírgula 7 3 2 4" xfId="1369"/>
    <cellStyle name="Vírgula 7 3 2 5" xfId="954"/>
    <cellStyle name="Vírgula 7 3 3" xfId="698"/>
    <cellStyle name="Vírgula 7 3 3 2" xfId="839"/>
    <cellStyle name="Vírgula 7 3 3 2 2" xfId="1685"/>
    <cellStyle name="Vírgula 7 3 3 2 3" xfId="1270"/>
    <cellStyle name="Vírgula 7 3 3 3" xfId="1550"/>
    <cellStyle name="Vírgula 7 3 3 4" xfId="1135"/>
    <cellStyle name="Vírgula 7 3 4" xfId="543"/>
    <cellStyle name="Vírgula 7 3 4 2" xfId="1461"/>
    <cellStyle name="Vírgula 7 3 4 3" xfId="1046"/>
    <cellStyle name="Vírgula 7 3 5" xfId="749"/>
    <cellStyle name="Vírgula 7 3 5 2" xfId="1596"/>
    <cellStyle name="Vírgula 7 3 5 3" xfId="1181"/>
    <cellStyle name="Vírgula 7 3 6" xfId="418"/>
    <cellStyle name="Vírgula 7 3 6 2" xfId="1412"/>
    <cellStyle name="Vírgula 7 3 6 3" xfId="997"/>
    <cellStyle name="Vírgula 7 3 7" xfId="1325"/>
    <cellStyle name="Vírgula 7 3 8" xfId="911"/>
    <cellStyle name="Vírgula 7 4" xfId="183"/>
    <cellStyle name="Vírgula 7 4 2" xfId="34"/>
    <cellStyle name="Vírgula 7 4 2 2" xfId="705"/>
    <cellStyle name="Vírgula 7 4 2 2 2" xfId="846"/>
    <cellStyle name="Vírgula 7 4 2 2 2 2" xfId="1692"/>
    <cellStyle name="Vírgula 7 4 2 2 2 3" xfId="1277"/>
    <cellStyle name="Vírgula 7 4 2 2 3" xfId="852"/>
    <cellStyle name="Vírgula 7 4 2 2 3 2" xfId="1696"/>
    <cellStyle name="Vírgula 7 4 2 2 3 3" xfId="1281"/>
    <cellStyle name="Vírgula 7 4 2 2 4" xfId="1557"/>
    <cellStyle name="Vírgula 7 4 2 2 5" xfId="1142"/>
    <cellStyle name="Vírgula 7 4 2 3" xfId="552"/>
    <cellStyle name="Vírgula 7 4 2 3 2" xfId="1468"/>
    <cellStyle name="Vírgula 7 4 2 3 3" xfId="1053"/>
    <cellStyle name="Vírgula 7 4 2 4" xfId="756"/>
    <cellStyle name="Vírgula 7 4 2 4 2" xfId="1603"/>
    <cellStyle name="Vírgula 7 4 2 4 3" xfId="1188"/>
    <cellStyle name="Vírgula 7 4 2 5" xfId="442"/>
    <cellStyle name="Vírgula 7 4 2 5 2" xfId="1422"/>
    <cellStyle name="Vírgula 7 4 2 5 3" xfId="1007"/>
    <cellStyle name="Vírgula 7 4 2 6" xfId="1285"/>
    <cellStyle name="Vírgula 7 4 2 7" xfId="871"/>
    <cellStyle name="Vírgula 7 4 3" xfId="699"/>
    <cellStyle name="Vírgula 7 4 3 2" xfId="840"/>
    <cellStyle name="Vírgula 7 4 3 2 2" xfId="1686"/>
    <cellStyle name="Vírgula 7 4 3 2 3" xfId="1271"/>
    <cellStyle name="Vírgula 7 4 3 3" xfId="1551"/>
    <cellStyle name="Vírgula 7 4 3 4" xfId="1136"/>
    <cellStyle name="Vírgula 7 4 4" xfId="550"/>
    <cellStyle name="Vírgula 7 4 4 2" xfId="1466"/>
    <cellStyle name="Vírgula 7 4 4 3" xfId="1051"/>
    <cellStyle name="Vírgula 7 4 5" xfId="754"/>
    <cellStyle name="Vírgula 7 4 5 2" xfId="1601"/>
    <cellStyle name="Vírgula 7 4 5 3" xfId="1186"/>
    <cellStyle name="Vírgula 7 4 6" xfId="429"/>
    <cellStyle name="Vírgula 7 4 6 2" xfId="1417"/>
    <cellStyle name="Vírgula 7 4 6 3" xfId="1002"/>
    <cellStyle name="Vírgula 7 4 7" xfId="1326"/>
    <cellStyle name="Vírgula 7 4 8" xfId="912"/>
    <cellStyle name="Vírgula 7 5" xfId="184"/>
    <cellStyle name="Vírgula 7 5 2" xfId="704"/>
    <cellStyle name="Vírgula 7 5 2 2" xfId="845"/>
    <cellStyle name="Vírgula 7 5 2 2 2" xfId="1691"/>
    <cellStyle name="Vírgula 7 5 2 2 3" xfId="1276"/>
    <cellStyle name="Vírgula 7 5 2 3" xfId="1556"/>
    <cellStyle name="Vírgula 7 5 2 4" xfId="1141"/>
    <cellStyle name="Vírgula 7 5 3" xfId="653"/>
    <cellStyle name="Vírgula 7 5 3 2" xfId="1506"/>
    <cellStyle name="Vírgula 7 5 3 3" xfId="1091"/>
    <cellStyle name="Vírgula 7 5 4" xfId="795"/>
    <cellStyle name="Vírgula 7 5 4 2" xfId="1641"/>
    <cellStyle name="Vírgula 7 5 4 3" xfId="1226"/>
    <cellStyle name="Vírgula 7 5 5" xfId="443"/>
    <cellStyle name="Vírgula 7 5 5 2" xfId="1423"/>
    <cellStyle name="Vírgula 7 5 5 3" xfId="1008"/>
    <cellStyle name="Vírgula 7 5 6" xfId="1327"/>
    <cellStyle name="Vírgula 7 5 7" xfId="913"/>
    <cellStyle name="Vírgula 7 6" xfId="696"/>
    <cellStyle name="Vírgula 7 6 2" xfId="837"/>
    <cellStyle name="Vírgula 7 6 2 2" xfId="1683"/>
    <cellStyle name="Vírgula 7 6 2 3" xfId="1268"/>
    <cellStyle name="Vírgula 7 6 3" xfId="1548"/>
    <cellStyle name="Vírgula 7 6 4" xfId="1133"/>
    <cellStyle name="Vírgula 7 7" xfId="541"/>
    <cellStyle name="Vírgula 7 7 2" xfId="1459"/>
    <cellStyle name="Vírgula 7 7 3" xfId="1044"/>
    <cellStyle name="Vírgula 7 8" xfId="747"/>
    <cellStyle name="Vírgula 7 8 2" xfId="1594"/>
    <cellStyle name="Vírgula 7 8 3" xfId="1179"/>
    <cellStyle name="Vírgula 7 9" xfId="416"/>
    <cellStyle name="Vírgula 7 9 2" xfId="1410"/>
    <cellStyle name="Vírgula 7 9 3" xfId="995"/>
    <cellStyle name="Vírgula 8" xfId="185"/>
    <cellStyle name="Vírgula 8 10" xfId="914"/>
    <cellStyle name="Vírgula 8 2" xfId="186"/>
    <cellStyle name="Vírgula 8 2 2" xfId="298"/>
    <cellStyle name="Vírgula 8 2 2 2" xfId="799"/>
    <cellStyle name="Vírgula 8 2 2 2 2" xfId="1645"/>
    <cellStyle name="Vírgula 8 2 2 2 3" xfId="1230"/>
    <cellStyle name="Vírgula 8 2 2 3" xfId="657"/>
    <cellStyle name="Vírgula 8 2 2 3 2" xfId="1510"/>
    <cellStyle name="Vírgula 8 2 2 3 3" xfId="1095"/>
    <cellStyle name="Vírgula 8 2 2 4" xfId="1370"/>
    <cellStyle name="Vírgula 8 2 2 5" xfId="955"/>
    <cellStyle name="Vírgula 8 2 3" xfId="701"/>
    <cellStyle name="Vírgula 8 2 3 2" xfId="842"/>
    <cellStyle name="Vírgula 8 2 3 2 2" xfId="1688"/>
    <cellStyle name="Vírgula 8 2 3 2 3" xfId="1273"/>
    <cellStyle name="Vírgula 8 2 3 3" xfId="1553"/>
    <cellStyle name="Vírgula 8 2 3 4" xfId="1138"/>
    <cellStyle name="Vírgula 8 2 4" xfId="545"/>
    <cellStyle name="Vírgula 8 2 4 2" xfId="1463"/>
    <cellStyle name="Vírgula 8 2 4 3" xfId="1048"/>
    <cellStyle name="Vírgula 8 2 5" xfId="751"/>
    <cellStyle name="Vírgula 8 2 5 2" xfId="1598"/>
    <cellStyle name="Vírgula 8 2 5 3" xfId="1183"/>
    <cellStyle name="Vírgula 8 2 6" xfId="420"/>
    <cellStyle name="Vírgula 8 2 6 2" xfId="1414"/>
    <cellStyle name="Vírgula 8 2 6 3" xfId="999"/>
    <cellStyle name="Vírgula 8 2 7" xfId="1329"/>
    <cellStyle name="Vírgula 8 2 8" xfId="915"/>
    <cellStyle name="Vírgula 8 3" xfId="187"/>
    <cellStyle name="Vírgula 8 3 2" xfId="299"/>
    <cellStyle name="Vírgula 8 3 2 2" xfId="800"/>
    <cellStyle name="Vírgula 8 3 2 2 2" xfId="1646"/>
    <cellStyle name="Vírgula 8 3 2 2 3" xfId="1231"/>
    <cellStyle name="Vírgula 8 3 2 3" xfId="658"/>
    <cellStyle name="Vírgula 8 3 2 3 2" xfId="1511"/>
    <cellStyle name="Vírgula 8 3 2 3 3" xfId="1096"/>
    <cellStyle name="Vírgula 8 3 2 4" xfId="1371"/>
    <cellStyle name="Vírgula 8 3 2 5" xfId="956"/>
    <cellStyle name="Vírgula 8 3 3" xfId="702"/>
    <cellStyle name="Vírgula 8 3 3 2" xfId="843"/>
    <cellStyle name="Vírgula 8 3 3 2 2" xfId="1689"/>
    <cellStyle name="Vírgula 8 3 3 2 3" xfId="1274"/>
    <cellStyle name="Vírgula 8 3 3 3" xfId="1554"/>
    <cellStyle name="Vírgula 8 3 3 4" xfId="1139"/>
    <cellStyle name="Vírgula 8 3 4" xfId="546"/>
    <cellStyle name="Vírgula 8 3 4 2" xfId="1464"/>
    <cellStyle name="Vírgula 8 3 4 3" xfId="1049"/>
    <cellStyle name="Vírgula 8 3 5" xfId="752"/>
    <cellStyle name="Vírgula 8 3 5 2" xfId="1599"/>
    <cellStyle name="Vírgula 8 3 5 3" xfId="1184"/>
    <cellStyle name="Vírgula 8 3 6" xfId="421"/>
    <cellStyle name="Vírgula 8 3 6 2" xfId="1415"/>
    <cellStyle name="Vírgula 8 3 6 3" xfId="1000"/>
    <cellStyle name="Vírgula 8 3 7" xfId="1330"/>
    <cellStyle name="Vírgula 8 3 8" xfId="916"/>
    <cellStyle name="Vírgula 8 4" xfId="300"/>
    <cellStyle name="Vírgula 8 4 2" xfId="798"/>
    <cellStyle name="Vírgula 8 4 2 2" xfId="1644"/>
    <cellStyle name="Vírgula 8 4 2 3" xfId="1229"/>
    <cellStyle name="Vírgula 8 4 3" xfId="656"/>
    <cellStyle name="Vírgula 8 4 3 2" xfId="1509"/>
    <cellStyle name="Vírgula 8 4 3 3" xfId="1094"/>
    <cellStyle name="Vírgula 8 4 4" xfId="1372"/>
    <cellStyle name="Vírgula 8 4 5" xfId="957"/>
    <cellStyle name="Vírgula 8 5" xfId="700"/>
    <cellStyle name="Vírgula 8 5 2" xfId="841"/>
    <cellStyle name="Vírgula 8 5 2 2" xfId="1687"/>
    <cellStyle name="Vírgula 8 5 2 3" xfId="1272"/>
    <cellStyle name="Vírgula 8 5 3" xfId="1552"/>
    <cellStyle name="Vírgula 8 5 4" xfId="1137"/>
    <cellStyle name="Vírgula 8 6" xfId="544"/>
    <cellStyle name="Vírgula 8 6 2" xfId="1462"/>
    <cellStyle name="Vírgula 8 6 3" xfId="1047"/>
    <cellStyle name="Vírgula 8 7" xfId="750"/>
    <cellStyle name="Vírgula 8 7 2" xfId="1597"/>
    <cellStyle name="Vírgula 8 7 3" xfId="1182"/>
    <cellStyle name="Vírgula 8 8" xfId="419"/>
    <cellStyle name="Vírgula 8 8 2" xfId="1413"/>
    <cellStyle name="Vírgula 8 8 3" xfId="998"/>
    <cellStyle name="Vírgula 8 9" xfId="1328"/>
    <cellStyle name="Vírgula 9" xfId="188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752475</xdr:colOff>
          <xdr:row>33</xdr:row>
          <xdr:rowOff>123825</xdr:rowOff>
        </xdr:from>
        <xdr:to>
          <xdr:col>2</xdr:col>
          <xdr:colOff>3571875</xdr:colOff>
          <xdr:row>36</xdr:row>
          <xdr:rowOff>76200</xdr:rowOff>
        </xdr:to>
        <xdr:sp macro="" textlink="">
          <xdr:nvSpPr>
            <xdr:cNvPr id="4097" name="Object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VExtenso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VExtenso"/>
    </sheetNames>
    <definedNames>
      <definedName name="VExtenso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view="pageBreakPreview" zoomScale="115" zoomScaleNormal="85" zoomScaleSheetLayoutView="115" workbookViewId="0">
      <selection activeCell="A6" sqref="A6"/>
    </sheetView>
  </sheetViews>
  <sheetFormatPr defaultRowHeight="12.75"/>
  <cols>
    <col min="1" max="1" width="7" customWidth="1"/>
    <col min="2" max="2" width="12.140625" customWidth="1"/>
    <col min="3" max="3" width="14.5703125" customWidth="1"/>
    <col min="4" max="6" width="12.140625" customWidth="1"/>
    <col min="7" max="7" width="20.140625" customWidth="1"/>
  </cols>
  <sheetData>
    <row r="1" spans="1:7" ht="15.75">
      <c r="A1" s="326" t="s">
        <v>34</v>
      </c>
      <c r="B1" s="327"/>
      <c r="C1" s="327"/>
      <c r="D1" s="327"/>
      <c r="E1" s="327"/>
      <c r="F1" s="327"/>
      <c r="G1" s="328"/>
    </row>
    <row r="2" spans="1:7">
      <c r="A2" s="51" t="str">
        <f>+'II - ORÇAMENTO'!A1</f>
        <v>PROPONENTE: PREFEITURA MUNICIPAL DE DOM PEDRO-MA</v>
      </c>
      <c r="B2" s="52"/>
      <c r="C2" s="52"/>
      <c r="D2" s="53"/>
      <c r="E2" s="76"/>
      <c r="F2" s="76"/>
      <c r="G2" s="77"/>
    </row>
    <row r="3" spans="1:7">
      <c r="A3" s="56" t="str">
        <f>+'II - ORÇAMENTO'!A2</f>
        <v>OBRA:  ESCOLA 6 SALAS - CENTRO DO PRIMO (31905)</v>
      </c>
      <c r="B3" s="57"/>
      <c r="C3" s="57"/>
      <c r="D3" s="58"/>
      <c r="E3" s="78"/>
      <c r="F3" s="78"/>
      <c r="G3" s="79"/>
    </row>
    <row r="4" spans="1:7">
      <c r="A4" s="56" t="str">
        <f>+'II - ORÇAMENTO'!A3</f>
        <v>LOCAL: POVOADO CENTRO DO PRIMO, DOM PEDRO-MA</v>
      </c>
      <c r="B4" s="57"/>
      <c r="C4" s="57"/>
      <c r="D4" s="58"/>
      <c r="E4" s="78"/>
      <c r="F4" s="78"/>
      <c r="G4" s="79"/>
    </row>
    <row r="5" spans="1:7">
      <c r="A5" s="277" t="str">
        <f>+'II - ORÇAMENTO'!A4</f>
        <v>REF. SINAPI 03/22 (SEM DESONERAÇÃO) MARANHÃO - ORSE 02/22 - SEINFRA 027</v>
      </c>
      <c r="B5" s="78"/>
      <c r="C5" s="78"/>
      <c r="D5" s="78"/>
      <c r="E5" s="78"/>
      <c r="F5" s="78"/>
      <c r="G5" s="79"/>
    </row>
    <row r="6" spans="1:7">
      <c r="A6" s="80" t="str">
        <f>+'II - ORÇAMENTO'!A5</f>
        <v xml:space="preserve">ENCARGOS SOCIAIS SOBRE PREÇO DE MÃO-DE-OBRA: 112,90% (HORA)  </v>
      </c>
      <c r="B6" s="81"/>
      <c r="C6" s="81"/>
      <c r="D6" s="81"/>
      <c r="E6" s="81"/>
      <c r="F6" s="81"/>
      <c r="G6" s="82"/>
    </row>
    <row r="7" spans="1:7">
      <c r="A7" s="83"/>
      <c r="B7" s="78"/>
      <c r="C7" s="78"/>
      <c r="D7" s="78"/>
      <c r="E7" s="78"/>
      <c r="F7" s="78"/>
      <c r="G7" s="79"/>
    </row>
    <row r="8" spans="1:7" ht="15">
      <c r="A8" s="84" t="s">
        <v>0</v>
      </c>
      <c r="B8" s="329" t="s">
        <v>35</v>
      </c>
      <c r="C8" s="329"/>
      <c r="D8" s="329"/>
      <c r="E8" s="329"/>
      <c r="F8" s="329"/>
      <c r="G8" s="85" t="s">
        <v>36</v>
      </c>
    </row>
    <row r="9" spans="1:7">
      <c r="A9" s="86"/>
      <c r="B9" s="78"/>
      <c r="C9" s="78"/>
      <c r="D9" s="78"/>
      <c r="E9" s="78"/>
      <c r="F9" s="78"/>
      <c r="G9" s="79"/>
    </row>
    <row r="10" spans="1:7">
      <c r="A10" s="270" t="str">
        <f>'II - ORÇAMENTO'!A11</f>
        <v>5</v>
      </c>
      <c r="B10" s="271" t="str">
        <f>'II - ORÇAMENTO'!D11</f>
        <v>INSTALAÇÕES HIDRO-SANITÁRIAS</v>
      </c>
      <c r="C10" s="88"/>
      <c r="D10" s="88"/>
      <c r="E10" s="88"/>
      <c r="F10" s="88"/>
      <c r="G10" s="89">
        <f>'II - ORÇAMENTO'!I63</f>
        <v>93984.675000000017</v>
      </c>
    </row>
    <row r="11" spans="1:7" ht="6" customHeight="1">
      <c r="A11" s="86"/>
      <c r="B11" s="78"/>
      <c r="C11" s="78"/>
      <c r="D11" s="78"/>
      <c r="E11" s="78"/>
      <c r="F11" s="78"/>
      <c r="G11" s="90"/>
    </row>
    <row r="12" spans="1:7">
      <c r="A12" s="272">
        <f>'II - ORÇAMENTO'!A65</f>
        <v>6</v>
      </c>
      <c r="B12" s="271" t="str">
        <f>'II - ORÇAMENTO'!D65</f>
        <v>INSTALAÇÕES ELÉTRICAS E TELEFÔNICAS (380/220V)</v>
      </c>
      <c r="C12" s="88"/>
      <c r="D12" s="88"/>
      <c r="E12" s="88"/>
      <c r="F12" s="88"/>
      <c r="G12" s="89">
        <f>'II - ORÇAMENTO'!I122</f>
        <v>68273.353125000009</v>
      </c>
    </row>
    <row r="13" spans="1:7" ht="6" customHeight="1">
      <c r="A13" s="86"/>
      <c r="B13" s="78"/>
      <c r="C13" s="78"/>
      <c r="D13" s="78"/>
      <c r="E13" s="78"/>
      <c r="F13" s="78"/>
      <c r="G13" s="90"/>
    </row>
    <row r="14" spans="1:7">
      <c r="A14" s="272">
        <f>'II - ORÇAMENTO'!A124</f>
        <v>7</v>
      </c>
      <c r="B14" s="271" t="str">
        <f>'II - ORÇAMENTO'!D124</f>
        <v>PAREDES E PAÍNES</v>
      </c>
      <c r="C14" s="88"/>
      <c r="D14" s="88"/>
      <c r="E14" s="88"/>
      <c r="F14" s="88"/>
      <c r="G14" s="89">
        <f>'II - ORÇAMENTO'!I135</f>
        <v>9701.6543499999989</v>
      </c>
    </row>
    <row r="15" spans="1:7" ht="6" customHeight="1">
      <c r="A15" s="86"/>
      <c r="B15" s="78"/>
      <c r="C15" s="78"/>
      <c r="D15" s="78"/>
      <c r="E15" s="78"/>
      <c r="F15" s="78"/>
      <c r="G15" s="90"/>
    </row>
    <row r="16" spans="1:7">
      <c r="A16" s="272">
        <f>'II - ORÇAMENTO'!A137</f>
        <v>8</v>
      </c>
      <c r="B16" s="271" t="str">
        <f>'II - ORÇAMENTO'!D137</f>
        <v>ESQUADRIAS</v>
      </c>
      <c r="C16" s="88"/>
      <c r="D16" s="88"/>
      <c r="E16" s="88"/>
      <c r="F16" s="88"/>
      <c r="G16" s="89">
        <f>'II - ORÇAMENTO'!I149</f>
        <v>25836.514999999999</v>
      </c>
    </row>
    <row r="17" spans="1:7" ht="6" customHeight="1">
      <c r="A17" s="86"/>
      <c r="B17" s="78"/>
      <c r="C17" s="78"/>
      <c r="D17" s="78"/>
      <c r="E17" s="78"/>
      <c r="F17" s="78"/>
      <c r="G17" s="90"/>
    </row>
    <row r="18" spans="1:7">
      <c r="A18" s="272">
        <f>'II - ORÇAMENTO'!A151</f>
        <v>9</v>
      </c>
      <c r="B18" s="271" t="str">
        <f>'II - ORÇAMENTO'!D151</f>
        <v>COBERTURA</v>
      </c>
      <c r="C18" s="88"/>
      <c r="D18" s="88"/>
      <c r="E18" s="88"/>
      <c r="F18" s="88"/>
      <c r="G18" s="89">
        <f>'II - ORÇAMENTO'!I158</f>
        <v>14899.879849999999</v>
      </c>
    </row>
    <row r="19" spans="1:7" ht="6" customHeight="1">
      <c r="A19" s="86"/>
      <c r="B19" s="78"/>
      <c r="C19" s="78"/>
      <c r="D19" s="78"/>
      <c r="E19" s="78"/>
      <c r="F19" s="78"/>
      <c r="G19" s="90"/>
    </row>
    <row r="20" spans="1:7">
      <c r="A20" s="272">
        <f>'II - ORÇAMENTO'!A160</f>
        <v>10</v>
      </c>
      <c r="B20" s="271" t="str">
        <f>'II - ORÇAMENTO'!D160</f>
        <v>REVESTIMENTO</v>
      </c>
      <c r="C20" s="88"/>
      <c r="D20" s="88"/>
      <c r="E20" s="88"/>
      <c r="F20" s="88"/>
      <c r="G20" s="89">
        <f>'II - ORÇAMENTO'!I169</f>
        <v>13720.473377272951</v>
      </c>
    </row>
    <row r="21" spans="1:7" ht="6" customHeight="1">
      <c r="A21" s="86"/>
      <c r="B21" s="78"/>
      <c r="C21" s="78"/>
      <c r="D21" s="78"/>
      <c r="E21" s="78"/>
      <c r="F21" s="78"/>
      <c r="G21" s="90"/>
    </row>
    <row r="22" spans="1:7">
      <c r="A22" s="272">
        <f>'II - ORÇAMENTO'!A171</f>
        <v>11</v>
      </c>
      <c r="B22" s="271" t="str">
        <f>'II - ORÇAMENTO'!D171</f>
        <v>PAVIMENTAÇÃO</v>
      </c>
      <c r="C22" s="88"/>
      <c r="D22" s="88"/>
      <c r="E22" s="88"/>
      <c r="F22" s="88"/>
      <c r="G22" s="89">
        <f>'II - ORÇAMENTO'!I178</f>
        <v>21284.618512500001</v>
      </c>
    </row>
    <row r="23" spans="1:7" ht="6" customHeight="1">
      <c r="A23" s="86"/>
      <c r="B23" s="78"/>
      <c r="C23" s="78"/>
      <c r="D23" s="78"/>
      <c r="E23" s="78"/>
      <c r="F23" s="78"/>
      <c r="G23" s="90"/>
    </row>
    <row r="24" spans="1:7">
      <c r="A24" s="272">
        <f>'II - ORÇAMENTO'!A180</f>
        <v>12</v>
      </c>
      <c r="B24" s="271" t="str">
        <f>'II - ORÇAMENTO'!D180</f>
        <v>SOLEIRAS E RODAPÉS</v>
      </c>
      <c r="C24" s="88"/>
      <c r="D24" s="88"/>
      <c r="E24" s="88"/>
      <c r="F24" s="88"/>
      <c r="G24" s="89">
        <f>'II - ORÇAMENTO'!I185</f>
        <v>1432.4006249999998</v>
      </c>
    </row>
    <row r="25" spans="1:7" ht="6" customHeight="1">
      <c r="A25" s="86"/>
      <c r="B25" s="78"/>
      <c r="C25" s="78"/>
      <c r="D25" s="78"/>
      <c r="E25" s="78"/>
      <c r="F25" s="78"/>
      <c r="G25" s="90"/>
    </row>
    <row r="26" spans="1:7">
      <c r="A26" s="272">
        <f>'II - ORÇAMENTO'!A187</f>
        <v>13</v>
      </c>
      <c r="B26" s="271" t="str">
        <f>'II - ORÇAMENTO'!D187</f>
        <v>PINTURAS</v>
      </c>
      <c r="C26" s="88"/>
      <c r="D26" s="88"/>
      <c r="E26" s="88"/>
      <c r="F26" s="88"/>
      <c r="G26" s="89">
        <f>'II - ORÇAMENTO'!I195</f>
        <v>20956.715850000001</v>
      </c>
    </row>
    <row r="27" spans="1:7" ht="6" customHeight="1">
      <c r="A27" s="86"/>
      <c r="B27" s="78"/>
      <c r="C27" s="78"/>
      <c r="D27" s="78"/>
      <c r="E27" s="78"/>
      <c r="F27" s="78"/>
      <c r="G27" s="90"/>
    </row>
    <row r="28" spans="1:7">
      <c r="A28" s="272">
        <f>'II - ORÇAMENTO'!A197</f>
        <v>14</v>
      </c>
      <c r="B28" s="271" t="str">
        <f>'II - ORÇAMENTO'!D197</f>
        <v>ELEMENTOS DECORATIVOS E OUTROS</v>
      </c>
      <c r="C28" s="88"/>
      <c r="D28" s="88"/>
      <c r="E28" s="88"/>
      <c r="F28" s="88"/>
      <c r="G28" s="89">
        <f>'II - ORÇAMENTO'!I223</f>
        <v>54504.065249999992</v>
      </c>
    </row>
    <row r="29" spans="1:7" ht="6" customHeight="1">
      <c r="A29" s="86"/>
      <c r="B29" s="78"/>
      <c r="C29" s="78"/>
      <c r="D29" s="78"/>
      <c r="E29" s="78"/>
      <c r="F29" s="78"/>
      <c r="G29" s="90"/>
    </row>
    <row r="30" spans="1:7">
      <c r="A30" s="272">
        <f>'II - ORÇAMENTO'!A225</f>
        <v>15</v>
      </c>
      <c r="B30" s="271" t="str">
        <f>'II - ORÇAMENTO'!D225</f>
        <v>INSTALAÇÕES REDE LÓGICA</v>
      </c>
      <c r="C30" s="88"/>
      <c r="D30" s="88"/>
      <c r="E30" s="88"/>
      <c r="F30" s="88"/>
      <c r="G30" s="89">
        <f>'II - ORÇAMENTO'!I239</f>
        <v>8671.0375000000022</v>
      </c>
    </row>
    <row r="31" spans="1:7" ht="6" customHeight="1">
      <c r="A31" s="86"/>
      <c r="B31" s="78"/>
      <c r="C31" s="78"/>
      <c r="D31" s="78"/>
      <c r="E31" s="78"/>
      <c r="F31" s="78"/>
      <c r="G31" s="90"/>
    </row>
    <row r="32" spans="1:7">
      <c r="A32" s="272">
        <f>'II - ORÇAMENTO'!A241</f>
        <v>16</v>
      </c>
      <c r="B32" s="271" t="str">
        <f>'II - ORÇAMENTO'!D241</f>
        <v>PORTAL DE ACESSO</v>
      </c>
      <c r="C32" s="88"/>
      <c r="D32" s="88"/>
      <c r="E32" s="88"/>
      <c r="F32" s="88"/>
      <c r="G32" s="89">
        <f>'II - ORÇAMENTO'!I250</f>
        <v>9962.5681249999998</v>
      </c>
    </row>
    <row r="33" spans="1:7" ht="6" customHeight="1">
      <c r="A33" s="86"/>
      <c r="B33" s="78"/>
      <c r="C33" s="78"/>
      <c r="D33" s="78"/>
      <c r="E33" s="78"/>
      <c r="F33" s="78"/>
      <c r="G33" s="90"/>
    </row>
    <row r="34" spans="1:7">
      <c r="A34" s="272">
        <f>'II - ORÇAMENTO'!A252</f>
        <v>17</v>
      </c>
      <c r="B34" s="271" t="str">
        <f>'II - ORÇAMENTO'!D252</f>
        <v>LIMPEZA DA OBRA</v>
      </c>
      <c r="C34" s="88"/>
      <c r="D34" s="88"/>
      <c r="E34" s="88"/>
      <c r="F34" s="88"/>
      <c r="G34" s="89">
        <f>'II - ORÇAMENTO'!I255</f>
        <v>2314.3049999999998</v>
      </c>
    </row>
    <row r="35" spans="1:7" ht="6" customHeight="1">
      <c r="A35" s="86"/>
      <c r="B35" s="78"/>
      <c r="C35" s="78"/>
      <c r="D35" s="78"/>
      <c r="E35" s="78"/>
      <c r="F35" s="78"/>
      <c r="G35" s="90"/>
    </row>
    <row r="36" spans="1:7" hidden="1">
      <c r="A36" s="87"/>
      <c r="B36" s="88" t="e">
        <f>+VLOOKUP(A36,'III - CRONOGRAMA'!$A$11:$B$88,2,FALSE)</f>
        <v>#N/A</v>
      </c>
      <c r="C36" s="88"/>
      <c r="D36" s="88"/>
      <c r="E36" s="88"/>
      <c r="F36" s="88"/>
      <c r="G36" s="89" t="e">
        <f>+VLOOKUP(A36,'III - CRONOGRAMA'!$A$11:$C$112,3,FALSE)</f>
        <v>#N/A</v>
      </c>
    </row>
    <row r="37" spans="1:7" ht="6" hidden="1" customHeight="1">
      <c r="A37" s="86"/>
      <c r="B37" s="78"/>
      <c r="C37" s="78"/>
      <c r="D37" s="78"/>
      <c r="E37" s="78"/>
      <c r="F37" s="78"/>
      <c r="G37" s="90"/>
    </row>
    <row r="38" spans="1:7" hidden="1">
      <c r="A38" s="87"/>
      <c r="B38" s="88" t="e">
        <f>+VLOOKUP(A38,'III - CRONOGRAMA'!$A$11:$B$88,2,FALSE)</f>
        <v>#N/A</v>
      </c>
      <c r="C38" s="88"/>
      <c r="D38" s="88"/>
      <c r="E38" s="88"/>
      <c r="F38" s="88"/>
      <c r="G38" s="89" t="e">
        <f>+VLOOKUP(A38,'III - CRONOGRAMA'!$A$11:$C$112,3,FALSE)</f>
        <v>#N/A</v>
      </c>
    </row>
    <row r="39" spans="1:7" ht="6" hidden="1" customHeight="1">
      <c r="A39" s="86"/>
      <c r="B39" s="78"/>
      <c r="C39" s="78"/>
      <c r="D39" s="78"/>
      <c r="E39" s="78"/>
      <c r="F39" s="78"/>
      <c r="G39" s="90"/>
    </row>
    <row r="40" spans="1:7" hidden="1">
      <c r="A40" s="87"/>
      <c r="B40" s="88" t="e">
        <f>+VLOOKUP(A40,'III - CRONOGRAMA'!$A$11:$B$88,2,FALSE)</f>
        <v>#N/A</v>
      </c>
      <c r="C40" s="88"/>
      <c r="D40" s="88"/>
      <c r="E40" s="88"/>
      <c r="F40" s="88"/>
      <c r="G40" s="89" t="e">
        <f>+VLOOKUP(A40,'III - CRONOGRAMA'!$A$11:$C$112,3,FALSE)</f>
        <v>#N/A</v>
      </c>
    </row>
    <row r="41" spans="1:7" ht="6" hidden="1" customHeight="1">
      <c r="A41" s="86"/>
      <c r="B41" s="78"/>
      <c r="C41" s="78"/>
      <c r="D41" s="78"/>
      <c r="E41" s="78"/>
      <c r="F41" s="78"/>
      <c r="G41" s="90"/>
    </row>
    <row r="42" spans="1:7" hidden="1">
      <c r="A42" s="87"/>
      <c r="B42" s="88" t="e">
        <f>+VLOOKUP(A42,'III - CRONOGRAMA'!$A$11:$B$88,2,FALSE)</f>
        <v>#N/A</v>
      </c>
      <c r="C42" s="88"/>
      <c r="D42" s="88"/>
      <c r="E42" s="88"/>
      <c r="F42" s="88"/>
      <c r="G42" s="89" t="e">
        <f>+VLOOKUP(A42,'III - CRONOGRAMA'!$A$11:$C$112,3,FALSE)</f>
        <v>#N/A</v>
      </c>
    </row>
    <row r="43" spans="1:7" ht="6" hidden="1" customHeight="1">
      <c r="A43" s="86"/>
      <c r="B43" s="78"/>
      <c r="C43" s="78"/>
      <c r="D43" s="78"/>
      <c r="E43" s="78"/>
      <c r="F43" s="78"/>
      <c r="G43" s="90"/>
    </row>
    <row r="44" spans="1:7" hidden="1">
      <c r="A44" s="87"/>
      <c r="B44" s="88" t="e">
        <f>+VLOOKUP(A44,'III - CRONOGRAMA'!$A$11:$B$88,2,FALSE)</f>
        <v>#N/A</v>
      </c>
      <c r="C44" s="88"/>
      <c r="D44" s="88"/>
      <c r="E44" s="88"/>
      <c r="F44" s="88"/>
      <c r="G44" s="89" t="e">
        <f>+VLOOKUP(A44,'III - CRONOGRAMA'!$A$11:$C$112,3,FALSE)</f>
        <v>#N/A</v>
      </c>
    </row>
    <row r="45" spans="1:7" ht="6" hidden="1" customHeight="1">
      <c r="A45" s="86"/>
      <c r="B45" s="78"/>
      <c r="C45" s="78"/>
      <c r="D45" s="78"/>
      <c r="E45" s="78"/>
      <c r="F45" s="78"/>
      <c r="G45" s="90"/>
    </row>
    <row r="46" spans="1:7" hidden="1">
      <c r="A46" s="87"/>
      <c r="B46" s="88" t="e">
        <f>+VLOOKUP(A46,'III - CRONOGRAMA'!$A$11:$B$88,2,FALSE)</f>
        <v>#N/A</v>
      </c>
      <c r="C46" s="88"/>
      <c r="D46" s="88"/>
      <c r="E46" s="88"/>
      <c r="F46" s="88"/>
      <c r="G46" s="89" t="e">
        <f>+VLOOKUP(A46,'III - CRONOGRAMA'!$A$11:$C$112,3,FALSE)</f>
        <v>#N/A</v>
      </c>
    </row>
    <row r="47" spans="1:7" ht="6" hidden="1" customHeight="1">
      <c r="A47" s="86"/>
      <c r="B47" s="78"/>
      <c r="C47" s="78"/>
      <c r="D47" s="78"/>
      <c r="E47" s="78"/>
      <c r="F47" s="78"/>
      <c r="G47" s="90"/>
    </row>
    <row r="48" spans="1:7" hidden="1">
      <c r="A48" s="87"/>
      <c r="B48" s="88" t="e">
        <f>+VLOOKUP(A48,'III - CRONOGRAMA'!$A$11:$B$88,2,FALSE)</f>
        <v>#N/A</v>
      </c>
      <c r="C48" s="88"/>
      <c r="D48" s="88"/>
      <c r="E48" s="88"/>
      <c r="F48" s="88"/>
      <c r="G48" s="89" t="e">
        <f>+VLOOKUP(A48,'III - CRONOGRAMA'!$A$11:$C$112,3,FALSE)</f>
        <v>#N/A</v>
      </c>
    </row>
    <row r="49" spans="1:7" ht="6" hidden="1" customHeight="1">
      <c r="A49" s="86"/>
      <c r="B49" s="78"/>
      <c r="C49" s="78"/>
      <c r="D49" s="78"/>
      <c r="E49" s="78"/>
      <c r="F49" s="78"/>
      <c r="G49" s="90"/>
    </row>
    <row r="50" spans="1:7" hidden="1">
      <c r="A50" s="87"/>
      <c r="B50" s="88" t="e">
        <f>+VLOOKUP(A50,'III - CRONOGRAMA'!$A$11:$B$88,2,FALSE)</f>
        <v>#N/A</v>
      </c>
      <c r="C50" s="88"/>
      <c r="D50" s="88"/>
      <c r="E50" s="88"/>
      <c r="F50" s="88"/>
      <c r="G50" s="89" t="e">
        <f>+VLOOKUP(A50,'III - CRONOGRAMA'!$A$11:$C$112,3,FALSE)</f>
        <v>#N/A</v>
      </c>
    </row>
    <row r="51" spans="1:7" ht="6" hidden="1" customHeight="1">
      <c r="A51" s="86"/>
      <c r="B51" s="78"/>
      <c r="C51" s="78"/>
      <c r="D51" s="78"/>
      <c r="E51" s="78"/>
      <c r="F51" s="78"/>
      <c r="G51" s="90"/>
    </row>
    <row r="52" spans="1:7" hidden="1">
      <c r="A52" s="87"/>
      <c r="B52" s="88" t="e">
        <f>+VLOOKUP(A52,'III - CRONOGRAMA'!$A$11:$B$88,2,FALSE)</f>
        <v>#N/A</v>
      </c>
      <c r="C52" s="88"/>
      <c r="D52" s="88"/>
      <c r="E52" s="88"/>
      <c r="F52" s="88"/>
      <c r="G52" s="89" t="e">
        <f>+VLOOKUP(A52,'III - CRONOGRAMA'!$A$11:$C$112,3,FALSE)</f>
        <v>#N/A</v>
      </c>
    </row>
    <row r="53" spans="1:7" ht="6" hidden="1" customHeight="1">
      <c r="A53" s="86"/>
      <c r="B53" s="78"/>
      <c r="C53" s="78"/>
      <c r="D53" s="78"/>
      <c r="E53" s="78"/>
      <c r="F53" s="78"/>
      <c r="G53" s="90"/>
    </row>
    <row r="54" spans="1:7" hidden="1">
      <c r="A54" s="87"/>
      <c r="B54" s="88" t="e">
        <f>+VLOOKUP(A54,'III - CRONOGRAMA'!$A$11:$B$88,2,FALSE)</f>
        <v>#N/A</v>
      </c>
      <c r="C54" s="88"/>
      <c r="D54" s="88"/>
      <c r="E54" s="88"/>
      <c r="F54" s="88"/>
      <c r="G54" s="89" t="e">
        <f>+VLOOKUP(A54,'III - CRONOGRAMA'!$A$11:$C$112,3,FALSE)</f>
        <v>#N/A</v>
      </c>
    </row>
    <row r="55" spans="1:7" ht="6" hidden="1" customHeight="1">
      <c r="A55" s="86"/>
      <c r="B55" s="78"/>
      <c r="C55" s="78"/>
      <c r="D55" s="78"/>
      <c r="E55" s="78"/>
      <c r="F55" s="78"/>
      <c r="G55" s="90"/>
    </row>
    <row r="56" spans="1:7" hidden="1">
      <c r="A56" s="87"/>
      <c r="B56" s="88" t="e">
        <f>+VLOOKUP(A56,'III - CRONOGRAMA'!$A$11:$B$88,2,FALSE)</f>
        <v>#N/A</v>
      </c>
      <c r="C56" s="88"/>
      <c r="D56" s="88"/>
      <c r="E56" s="88"/>
      <c r="F56" s="88"/>
      <c r="G56" s="89" t="e">
        <f>+VLOOKUP(A56,'III - CRONOGRAMA'!$A$11:$C$112,3,FALSE)</f>
        <v>#N/A</v>
      </c>
    </row>
    <row r="57" spans="1:7" ht="6" hidden="1" customHeight="1">
      <c r="A57" s="86"/>
      <c r="B57" s="78"/>
      <c r="C57" s="78"/>
      <c r="D57" s="78"/>
      <c r="E57" s="78"/>
      <c r="F57" s="78"/>
      <c r="G57" s="90"/>
    </row>
    <row r="58" spans="1:7" hidden="1">
      <c r="A58" s="87"/>
      <c r="B58" s="88" t="e">
        <f>+VLOOKUP(A58,'III - CRONOGRAMA'!$A$11:$B$88,2,FALSE)</f>
        <v>#N/A</v>
      </c>
      <c r="C58" s="88"/>
      <c r="D58" s="88"/>
      <c r="E58" s="88"/>
      <c r="F58" s="88"/>
      <c r="G58" s="89" t="e">
        <f>+VLOOKUP(A58,'III - CRONOGRAMA'!$A$11:$C$112,3,FALSE)</f>
        <v>#N/A</v>
      </c>
    </row>
    <row r="59" spans="1:7" ht="6" hidden="1" customHeight="1">
      <c r="A59" s="86"/>
      <c r="B59" s="78"/>
      <c r="C59" s="78"/>
      <c r="D59" s="78"/>
      <c r="E59" s="78"/>
      <c r="F59" s="78"/>
      <c r="G59" s="90"/>
    </row>
    <row r="60" spans="1:7" hidden="1">
      <c r="A60" s="87"/>
      <c r="B60" s="88" t="e">
        <f>+VLOOKUP(A60,'III - CRONOGRAMA'!$A$11:$B$88,2,FALSE)</f>
        <v>#N/A</v>
      </c>
      <c r="C60" s="88"/>
      <c r="D60" s="88"/>
      <c r="E60" s="88"/>
      <c r="F60" s="88"/>
      <c r="G60" s="89" t="e">
        <f>+VLOOKUP(A60,'III - CRONOGRAMA'!$A$11:$C$112,3,FALSE)</f>
        <v>#N/A</v>
      </c>
    </row>
    <row r="61" spans="1:7" ht="6" hidden="1" customHeight="1">
      <c r="A61" s="86"/>
      <c r="B61" s="78"/>
      <c r="C61" s="78"/>
      <c r="D61" s="78"/>
      <c r="E61" s="78"/>
      <c r="F61" s="78"/>
      <c r="G61" s="90"/>
    </row>
    <row r="62" spans="1:7" hidden="1">
      <c r="A62" s="87"/>
      <c r="B62" s="88" t="e">
        <f>+VLOOKUP(A62,'III - CRONOGRAMA'!$A$11:$B$88,2,FALSE)</f>
        <v>#N/A</v>
      </c>
      <c r="C62" s="88"/>
      <c r="D62" s="88"/>
      <c r="E62" s="88"/>
      <c r="F62" s="88"/>
      <c r="G62" s="89" t="e">
        <f>+VLOOKUP(A62,'III - CRONOGRAMA'!$A$11:$C$112,3,FALSE)</f>
        <v>#N/A</v>
      </c>
    </row>
    <row r="63" spans="1:7" ht="6" hidden="1" customHeight="1">
      <c r="A63" s="86"/>
      <c r="B63" s="78"/>
      <c r="C63" s="78"/>
      <c r="D63" s="78"/>
      <c r="E63" s="78"/>
      <c r="F63" s="78"/>
      <c r="G63" s="90"/>
    </row>
    <row r="64" spans="1:7" hidden="1">
      <c r="A64" s="87"/>
      <c r="B64" s="88" t="e">
        <f>+VLOOKUP(A64,'III - CRONOGRAMA'!$A$11:$B$88,2,FALSE)</f>
        <v>#N/A</v>
      </c>
      <c r="C64" s="88"/>
      <c r="D64" s="88"/>
      <c r="E64" s="88"/>
      <c r="F64" s="88"/>
      <c r="G64" s="89" t="e">
        <f>+VLOOKUP(A64,'III - CRONOGRAMA'!$A$11:$C$112,3,FALSE)</f>
        <v>#N/A</v>
      </c>
    </row>
    <row r="65" spans="1:7" ht="6" hidden="1" customHeight="1">
      <c r="A65" s="86"/>
      <c r="B65" s="78"/>
      <c r="C65" s="78"/>
      <c r="D65" s="78"/>
      <c r="E65" s="78"/>
      <c r="F65" s="78"/>
      <c r="G65" s="90"/>
    </row>
    <row r="66" spans="1:7" hidden="1">
      <c r="A66" s="87"/>
      <c r="B66" s="88" t="e">
        <f>+VLOOKUP(A66,'III - CRONOGRAMA'!$A$11:$B$88,2,FALSE)</f>
        <v>#N/A</v>
      </c>
      <c r="C66" s="88"/>
      <c r="D66" s="88"/>
      <c r="E66" s="88"/>
      <c r="F66" s="88"/>
      <c r="G66" s="89" t="e">
        <f>+VLOOKUP(A66,'III - CRONOGRAMA'!$A$11:$C$112,3,FALSE)</f>
        <v>#N/A</v>
      </c>
    </row>
    <row r="67" spans="1:7" ht="6" hidden="1" customHeight="1">
      <c r="A67" s="86"/>
      <c r="B67" s="78"/>
      <c r="C67" s="78"/>
      <c r="D67" s="78"/>
      <c r="E67" s="78"/>
      <c r="F67" s="78"/>
      <c r="G67" s="90"/>
    </row>
    <row r="68" spans="1:7" hidden="1">
      <c r="A68" s="87"/>
      <c r="B68" s="88" t="e">
        <f>+VLOOKUP(A68,'III - CRONOGRAMA'!$A$11:$B$88,2,FALSE)</f>
        <v>#N/A</v>
      </c>
      <c r="C68" s="88"/>
      <c r="D68" s="88"/>
      <c r="E68" s="88"/>
      <c r="F68" s="88"/>
      <c r="G68" s="89" t="e">
        <f>+VLOOKUP(A68,'III - CRONOGRAMA'!$A$11:$C$112,3,FALSE)</f>
        <v>#N/A</v>
      </c>
    </row>
    <row r="69" spans="1:7" ht="6" hidden="1" customHeight="1">
      <c r="A69" s="86"/>
      <c r="B69" s="78"/>
      <c r="C69" s="78"/>
      <c r="D69" s="78"/>
      <c r="E69" s="78"/>
      <c r="F69" s="78"/>
      <c r="G69" s="90"/>
    </row>
    <row r="70" spans="1:7" hidden="1">
      <c r="A70" s="87"/>
      <c r="B70" s="88" t="e">
        <f>+VLOOKUP(A70,'III - CRONOGRAMA'!$A$11:$B$88,2,FALSE)</f>
        <v>#N/A</v>
      </c>
      <c r="C70" s="88"/>
      <c r="D70" s="88"/>
      <c r="E70" s="88"/>
      <c r="F70" s="88"/>
      <c r="G70" s="89" t="e">
        <f>+VLOOKUP(A70,'III - CRONOGRAMA'!$A$11:$C$112,3,FALSE)</f>
        <v>#N/A</v>
      </c>
    </row>
    <row r="71" spans="1:7" ht="6" hidden="1" customHeight="1">
      <c r="A71" s="86"/>
      <c r="B71" s="78"/>
      <c r="C71" s="78"/>
      <c r="D71" s="78"/>
      <c r="E71" s="78"/>
      <c r="F71" s="78"/>
      <c r="G71" s="90"/>
    </row>
    <row r="72" spans="1:7" hidden="1">
      <c r="A72" s="87"/>
      <c r="B72" s="88" t="e">
        <f>+VLOOKUP(A72,'III - CRONOGRAMA'!$A$11:$B$112,2,FALSE)</f>
        <v>#N/A</v>
      </c>
      <c r="C72" s="88"/>
      <c r="D72" s="88"/>
      <c r="E72" s="88"/>
      <c r="F72" s="88"/>
      <c r="G72" s="89" t="e">
        <f>+VLOOKUP(A72,'III - CRONOGRAMA'!$A$11:$C$112,3,FALSE)</f>
        <v>#N/A</v>
      </c>
    </row>
    <row r="73" spans="1:7" ht="6" hidden="1" customHeight="1">
      <c r="A73" s="86"/>
      <c r="B73" s="78"/>
      <c r="C73" s="78"/>
      <c r="D73" s="78"/>
      <c r="E73" s="78"/>
      <c r="F73" s="78"/>
      <c r="G73" s="90"/>
    </row>
    <row r="74" spans="1:7" hidden="1">
      <c r="A74" s="87"/>
      <c r="B74" s="88" t="e">
        <f>+VLOOKUP(A74,'III - CRONOGRAMA'!$A$11:$B$112,2,FALSE)</f>
        <v>#N/A</v>
      </c>
      <c r="C74" s="88"/>
      <c r="D74" s="88"/>
      <c r="E74" s="88"/>
      <c r="F74" s="88"/>
      <c r="G74" s="89" t="e">
        <f>+VLOOKUP(A74,'III - CRONOGRAMA'!$A$11:$C$112,3,FALSE)</f>
        <v>#N/A</v>
      </c>
    </row>
    <row r="75" spans="1:7" ht="6" hidden="1" customHeight="1">
      <c r="A75" s="86"/>
      <c r="B75" s="78"/>
      <c r="C75" s="78"/>
      <c r="D75" s="78"/>
      <c r="E75" s="78"/>
      <c r="F75" s="78"/>
      <c r="G75" s="90"/>
    </row>
    <row r="76" spans="1:7" hidden="1">
      <c r="A76" s="87"/>
      <c r="B76" s="88" t="e">
        <f>+VLOOKUP(A76,'III - CRONOGRAMA'!$A$11:$B$112,2,FALSE)</f>
        <v>#N/A</v>
      </c>
      <c r="C76" s="88"/>
      <c r="D76" s="88"/>
      <c r="E76" s="88"/>
      <c r="F76" s="88"/>
      <c r="G76" s="89" t="e">
        <f>+VLOOKUP(A76,'III - CRONOGRAMA'!$A$11:$C$112,3,FALSE)</f>
        <v>#N/A</v>
      </c>
    </row>
    <row r="77" spans="1:7" ht="6" hidden="1" customHeight="1">
      <c r="A77" s="86"/>
      <c r="B77" s="78"/>
      <c r="C77" s="78"/>
      <c r="D77" s="78"/>
      <c r="E77" s="78"/>
      <c r="F77" s="78"/>
      <c r="G77" s="90"/>
    </row>
    <row r="78" spans="1:7" hidden="1">
      <c r="A78" s="87"/>
      <c r="B78" s="88" t="e">
        <f>+VLOOKUP(A78,'III - CRONOGRAMA'!$A$11:$B$88,2,FALSE)</f>
        <v>#N/A</v>
      </c>
      <c r="C78" s="88"/>
      <c r="D78" s="88"/>
      <c r="E78" s="88"/>
      <c r="F78" s="88"/>
      <c r="G78" s="89" t="e">
        <f>+VLOOKUP(A78,'III - CRONOGRAMA'!$A$11:$C$112,3,FALSE)</f>
        <v>#N/A</v>
      </c>
    </row>
    <row r="79" spans="1:7" ht="6" hidden="1" customHeight="1">
      <c r="A79" s="86"/>
      <c r="B79" s="78"/>
      <c r="C79" s="78"/>
      <c r="D79" s="78"/>
      <c r="E79" s="78"/>
      <c r="F79" s="78"/>
      <c r="G79" s="90"/>
    </row>
    <row r="80" spans="1:7" hidden="1">
      <c r="A80" s="87"/>
      <c r="B80" s="88" t="e">
        <f>+VLOOKUP(A80,'III - CRONOGRAMA'!$A$11:$B$88,2,FALSE)</f>
        <v>#N/A</v>
      </c>
      <c r="C80" s="88"/>
      <c r="D80" s="88"/>
      <c r="E80" s="88"/>
      <c r="F80" s="88"/>
      <c r="G80" s="89" t="e">
        <f>+VLOOKUP(A80,'III - CRONOGRAMA'!$A$11:$C$112,3,FALSE)</f>
        <v>#N/A</v>
      </c>
    </row>
    <row r="81" spans="1:7" ht="6" hidden="1" customHeight="1">
      <c r="A81" s="86"/>
      <c r="B81" s="78"/>
      <c r="C81" s="78"/>
      <c r="D81" s="78"/>
      <c r="E81" s="78"/>
      <c r="F81" s="78"/>
      <c r="G81" s="90"/>
    </row>
    <row r="82" spans="1:7" hidden="1">
      <c r="A82" s="87"/>
      <c r="B82" s="88" t="e">
        <f>+VLOOKUP(A82,'III - CRONOGRAMA'!$A$11:$B$112,2,FALSE)</f>
        <v>#N/A</v>
      </c>
      <c r="C82" s="88"/>
      <c r="D82" s="88"/>
      <c r="E82" s="88"/>
      <c r="F82" s="88"/>
      <c r="G82" s="89" t="e">
        <f>+VLOOKUP(A82,'III - CRONOGRAMA'!$A$11:$C$112,3,FALSE)</f>
        <v>#N/A</v>
      </c>
    </row>
    <row r="83" spans="1:7" ht="6" hidden="1" customHeight="1">
      <c r="A83" s="86"/>
      <c r="B83" s="78"/>
      <c r="C83" s="78"/>
      <c r="D83" s="78"/>
      <c r="E83" s="78"/>
      <c r="F83" s="78"/>
      <c r="G83" s="90"/>
    </row>
    <row r="84" spans="1:7" hidden="1">
      <c r="A84" s="87"/>
      <c r="B84" s="88" t="e">
        <f>+VLOOKUP(A84,'III - CRONOGRAMA'!$A$11:$B$112,2,FALSE)</f>
        <v>#N/A</v>
      </c>
      <c r="C84" s="88"/>
      <c r="D84" s="88"/>
      <c r="E84" s="88"/>
      <c r="F84" s="88"/>
      <c r="G84" s="89" t="e">
        <f>+VLOOKUP(A84,'III - CRONOGRAMA'!$A$11:$C$112,3,FALSE)</f>
        <v>#N/A</v>
      </c>
    </row>
    <row r="85" spans="1:7" ht="6" hidden="1" customHeight="1">
      <c r="A85" s="86"/>
      <c r="B85" s="78"/>
      <c r="C85" s="78"/>
      <c r="D85" s="78"/>
      <c r="E85" s="78"/>
      <c r="F85" s="78"/>
      <c r="G85" s="90"/>
    </row>
    <row r="86" spans="1:7" hidden="1">
      <c r="A86" s="87"/>
      <c r="B86" s="88" t="e">
        <f>+VLOOKUP(A86,'III - CRONOGRAMA'!$A$11:$B$112,2,FALSE)</f>
        <v>#N/A</v>
      </c>
      <c r="C86" s="88"/>
      <c r="D86" s="88"/>
      <c r="E86" s="88"/>
      <c r="F86" s="88"/>
      <c r="G86" s="89" t="e">
        <f>+VLOOKUP(A86,'III - CRONOGRAMA'!$A$11:$C$112,3,FALSE)</f>
        <v>#N/A</v>
      </c>
    </row>
    <row r="87" spans="1:7" ht="6.75" hidden="1" customHeight="1">
      <c r="A87" s="86"/>
      <c r="B87" s="78"/>
      <c r="C87" s="78"/>
      <c r="D87" s="78"/>
      <c r="E87" s="78"/>
      <c r="F87" s="78"/>
      <c r="G87" s="90"/>
    </row>
    <row r="88" spans="1:7" ht="6" customHeight="1">
      <c r="A88" s="86"/>
      <c r="B88" s="78"/>
      <c r="C88" s="78"/>
      <c r="D88" s="78"/>
      <c r="E88" s="78"/>
      <c r="F88" s="78"/>
      <c r="G88" s="90"/>
    </row>
    <row r="89" spans="1:7" ht="15">
      <c r="A89" s="83"/>
      <c r="B89" s="78"/>
      <c r="C89" s="78"/>
      <c r="D89" s="78"/>
      <c r="E89" s="91" t="s">
        <v>37</v>
      </c>
      <c r="F89" s="92"/>
      <c r="G89" s="93">
        <f>+(G90/1.25)*0.25</f>
        <v>69108.452312954571</v>
      </c>
    </row>
    <row r="90" spans="1:7" ht="15">
      <c r="A90" s="83"/>
      <c r="B90" s="78"/>
      <c r="C90" s="78"/>
      <c r="D90" s="78"/>
      <c r="E90" s="91" t="s">
        <v>38</v>
      </c>
      <c r="F90" s="92"/>
      <c r="G90" s="93">
        <f>SUM(G10,G12,G14,G16,G18,G20,G22,G24,G26,G28,G30,G32,G34)</f>
        <v>345542.26156477287</v>
      </c>
    </row>
    <row r="91" spans="1:7">
      <c r="A91" s="330" t="str">
        <f>UPPER([1]!VExtenso(G90))</f>
        <v>TREZENTOS E QUARENTA E CINCO MIL, QUINHENTOS E QUARENTA E DOIS REAIS E VINTE E SEIS CENTAVOS</v>
      </c>
      <c r="B91" s="331"/>
      <c r="C91" s="331"/>
      <c r="D91" s="331"/>
      <c r="E91" s="331"/>
      <c r="F91" s="331"/>
      <c r="G91" s="332"/>
    </row>
    <row r="92" spans="1:7">
      <c r="A92" s="333"/>
      <c r="B92" s="334"/>
      <c r="C92" s="334"/>
      <c r="D92" s="334"/>
      <c r="E92" s="334"/>
      <c r="F92" s="334"/>
      <c r="G92" s="335"/>
    </row>
  </sheetData>
  <mergeCells count="3">
    <mergeCell ref="A1:G1"/>
    <mergeCell ref="B8:F8"/>
    <mergeCell ref="A91:G92"/>
  </mergeCells>
  <pageMargins left="0.68" right="0.6" top="1.1023622047244095" bottom="0.78740157480314965" header="0.31496062992125984" footer="0.31496062992125984"/>
  <pageSetup paperSize="9" scale="99" fitToHeight="0" orientation="portrait" horizontalDpi="4294967293" verticalDpi="36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1"/>
  <sheetViews>
    <sheetView showGridLines="0" view="pageBreakPreview" topLeftCell="A10" zoomScaleNormal="65" zoomScaleSheetLayoutView="100" workbookViewId="0">
      <selection activeCell="A6" sqref="A6"/>
    </sheetView>
  </sheetViews>
  <sheetFormatPr defaultRowHeight="12.75"/>
  <cols>
    <col min="1" max="3" width="8.28515625" style="250" customWidth="1"/>
    <col min="4" max="4" width="70.7109375" style="251" customWidth="1"/>
    <col min="5" max="5" width="7.5703125" style="250" customWidth="1"/>
    <col min="6" max="6" width="7.42578125" style="252" bestFit="1" customWidth="1"/>
    <col min="7" max="8" width="15.85546875" style="252" customWidth="1"/>
    <col min="9" max="9" width="15.5703125" style="252" customWidth="1"/>
    <col min="10" max="11" width="9.140625" style="179"/>
    <col min="12" max="12" width="11.7109375" style="179" bestFit="1" customWidth="1"/>
    <col min="13" max="16384" width="9.140625" style="179"/>
  </cols>
  <sheetData>
    <row r="1" spans="1:12">
      <c r="A1" s="190" t="s">
        <v>265</v>
      </c>
      <c r="B1" s="307"/>
      <c r="C1" s="307"/>
      <c r="D1" s="191"/>
      <c r="E1" s="192"/>
      <c r="F1" s="193"/>
      <c r="G1" s="193"/>
      <c r="H1" s="194"/>
      <c r="I1" s="195"/>
    </row>
    <row r="2" spans="1:12">
      <c r="A2" s="196" t="s">
        <v>266</v>
      </c>
      <c r="B2" s="308"/>
      <c r="C2" s="308"/>
      <c r="D2" s="197"/>
      <c r="E2" s="198"/>
      <c r="F2" s="199"/>
      <c r="G2" s="199"/>
      <c r="H2" s="200"/>
      <c r="I2" s="201"/>
    </row>
    <row r="3" spans="1:12">
      <c r="A3" s="196" t="s">
        <v>267</v>
      </c>
      <c r="B3" s="308"/>
      <c r="C3" s="308"/>
      <c r="D3" s="197"/>
      <c r="E3" s="198"/>
      <c r="F3" s="199"/>
      <c r="G3" s="199"/>
      <c r="H3" s="200"/>
      <c r="I3" s="202" t="s">
        <v>32</v>
      </c>
    </row>
    <row r="4" spans="1:12" ht="14.25">
      <c r="A4" s="203" t="s">
        <v>667</v>
      </c>
      <c r="B4" s="309"/>
      <c r="C4" s="309"/>
      <c r="D4" s="197"/>
      <c r="E4" s="198"/>
      <c r="F4" s="199"/>
      <c r="G4" s="199"/>
      <c r="H4" s="200"/>
      <c r="I4" s="202"/>
    </row>
    <row r="5" spans="1:12" ht="14.25">
      <c r="A5" s="204" t="s">
        <v>666</v>
      </c>
      <c r="B5" s="310"/>
      <c r="C5" s="310"/>
      <c r="D5" s="205"/>
      <c r="E5" s="206"/>
      <c r="F5" s="206"/>
      <c r="G5" s="206"/>
      <c r="H5" s="207" t="s">
        <v>33</v>
      </c>
      <c r="I5" s="275">
        <v>0.25</v>
      </c>
    </row>
    <row r="6" spans="1:12" ht="14.25">
      <c r="A6" s="204"/>
      <c r="B6" s="310"/>
      <c r="C6" s="310"/>
      <c r="D6" s="205"/>
      <c r="E6" s="206"/>
      <c r="F6" s="206"/>
      <c r="G6" s="206"/>
      <c r="H6" s="207"/>
      <c r="I6" s="208"/>
      <c r="L6" s="179">
        <v>1021886.92</v>
      </c>
    </row>
    <row r="7" spans="1:12">
      <c r="A7" s="267" t="s">
        <v>144</v>
      </c>
      <c r="B7" s="268"/>
      <c r="C7" s="268"/>
      <c r="D7" s="268"/>
      <c r="E7" s="268"/>
      <c r="F7" s="268"/>
      <c r="G7" s="268"/>
      <c r="H7" s="268"/>
      <c r="I7" s="269"/>
    </row>
    <row r="8" spans="1:12" ht="13.5" thickBot="1">
      <c r="A8" s="209"/>
      <c r="B8" s="209"/>
      <c r="C8" s="209"/>
      <c r="D8" s="210"/>
      <c r="E8" s="211"/>
      <c r="F8" s="212"/>
      <c r="G8" s="212"/>
      <c r="H8" s="213"/>
      <c r="I8" s="214"/>
      <c r="L8" s="179">
        <f>L6*0.25</f>
        <v>255471.73</v>
      </c>
    </row>
    <row r="9" spans="1:12" ht="25.5">
      <c r="A9" s="215" t="s">
        <v>0</v>
      </c>
      <c r="B9" s="311" t="s">
        <v>74</v>
      </c>
      <c r="C9" s="311" t="s">
        <v>559</v>
      </c>
      <c r="D9" s="180" t="s">
        <v>15</v>
      </c>
      <c r="E9" s="180" t="s">
        <v>22</v>
      </c>
      <c r="F9" s="216" t="s">
        <v>23</v>
      </c>
      <c r="G9" s="180" t="s">
        <v>555</v>
      </c>
      <c r="H9" s="180" t="s">
        <v>556</v>
      </c>
      <c r="I9" s="181" t="s">
        <v>16</v>
      </c>
    </row>
    <row r="10" spans="1:12">
      <c r="A10" s="217"/>
      <c r="B10" s="217"/>
      <c r="C10" s="217"/>
      <c r="D10" s="183"/>
      <c r="E10" s="183"/>
      <c r="F10" s="218"/>
      <c r="G10" s="218"/>
      <c r="H10" s="183"/>
      <c r="I10" s="184"/>
    </row>
    <row r="11" spans="1:12">
      <c r="A11" s="219" t="s">
        <v>285</v>
      </c>
      <c r="B11" s="219"/>
      <c r="C11" s="219"/>
      <c r="D11" s="220" t="s">
        <v>284</v>
      </c>
      <c r="E11" s="182"/>
      <c r="F11" s="221"/>
      <c r="G11" s="221"/>
      <c r="H11" s="182"/>
      <c r="I11" s="182"/>
    </row>
    <row r="12" spans="1:12" hidden="1">
      <c r="A12" s="263" t="s">
        <v>10</v>
      </c>
      <c r="B12" s="263"/>
      <c r="C12" s="263"/>
      <c r="D12" s="222" t="s">
        <v>286</v>
      </c>
      <c r="E12" s="177"/>
      <c r="F12" s="177"/>
      <c r="G12" s="177"/>
      <c r="H12" s="177"/>
      <c r="I12" s="177"/>
    </row>
    <row r="13" spans="1:12" hidden="1">
      <c r="A13" s="223" t="s">
        <v>291</v>
      </c>
      <c r="B13" s="223"/>
      <c r="C13" s="223"/>
      <c r="D13" s="224" t="s">
        <v>287</v>
      </c>
      <c r="E13" s="177" t="s">
        <v>1</v>
      </c>
      <c r="F13" s="177"/>
      <c r="G13" s="177"/>
      <c r="H13" s="177"/>
      <c r="I13" s="177"/>
    </row>
    <row r="14" spans="1:12" hidden="1">
      <c r="A14" s="223" t="s">
        <v>292</v>
      </c>
      <c r="B14" s="223"/>
      <c r="C14" s="223"/>
      <c r="D14" s="224" t="s">
        <v>288</v>
      </c>
      <c r="E14" s="177" t="s">
        <v>1</v>
      </c>
      <c r="F14" s="177"/>
      <c r="G14" s="177"/>
      <c r="H14" s="177"/>
      <c r="I14" s="177"/>
    </row>
    <row r="15" spans="1:12" hidden="1">
      <c r="A15" s="223" t="s">
        <v>293</v>
      </c>
      <c r="B15" s="223"/>
      <c r="C15" s="223"/>
      <c r="D15" s="224" t="s">
        <v>289</v>
      </c>
      <c r="E15" s="177" t="s">
        <v>1</v>
      </c>
      <c r="F15" s="177"/>
      <c r="G15" s="177"/>
      <c r="H15" s="177"/>
      <c r="I15" s="177"/>
    </row>
    <row r="16" spans="1:12" hidden="1">
      <c r="A16" s="223" t="s">
        <v>294</v>
      </c>
      <c r="B16" s="223"/>
      <c r="C16" s="223"/>
      <c r="D16" s="224" t="s">
        <v>290</v>
      </c>
      <c r="E16" s="177" t="s">
        <v>1</v>
      </c>
      <c r="F16" s="177"/>
      <c r="G16" s="177"/>
      <c r="H16" s="177"/>
      <c r="I16" s="177"/>
    </row>
    <row r="17" spans="1:11" hidden="1">
      <c r="A17" s="223" t="s">
        <v>295</v>
      </c>
      <c r="B17" s="223"/>
      <c r="C17" s="223"/>
      <c r="D17" s="224" t="s">
        <v>414</v>
      </c>
      <c r="E17" s="177" t="s">
        <v>1</v>
      </c>
      <c r="F17" s="177"/>
      <c r="G17" s="177"/>
      <c r="H17" s="177"/>
      <c r="I17" s="177"/>
    </row>
    <row r="18" spans="1:11" hidden="1">
      <c r="A18" s="262" t="s">
        <v>296</v>
      </c>
      <c r="B18" s="262"/>
      <c r="C18" s="262"/>
      <c r="D18" s="222" t="s">
        <v>415</v>
      </c>
      <c r="E18" s="177"/>
      <c r="F18" s="177"/>
      <c r="G18" s="177"/>
      <c r="H18" s="177"/>
      <c r="I18" s="177"/>
    </row>
    <row r="19" spans="1:11" hidden="1">
      <c r="A19" s="223" t="s">
        <v>299</v>
      </c>
      <c r="B19" s="223"/>
      <c r="C19" s="223"/>
      <c r="D19" s="224" t="s">
        <v>416</v>
      </c>
      <c r="E19" s="177" t="s">
        <v>2</v>
      </c>
      <c r="F19" s="177"/>
      <c r="G19" s="177"/>
      <c r="H19" s="177"/>
      <c r="I19" s="177"/>
      <c r="K19" s="226"/>
    </row>
    <row r="20" spans="1:11" hidden="1">
      <c r="A20" s="223" t="s">
        <v>300</v>
      </c>
      <c r="B20" s="223"/>
      <c r="C20" s="223"/>
      <c r="D20" s="224" t="s">
        <v>417</v>
      </c>
      <c r="E20" s="177" t="s">
        <v>2</v>
      </c>
      <c r="F20" s="177"/>
      <c r="G20" s="177"/>
      <c r="H20" s="177"/>
      <c r="I20" s="177"/>
    </row>
    <row r="21" spans="1:11" hidden="1">
      <c r="A21" s="223" t="s">
        <v>301</v>
      </c>
      <c r="B21" s="223"/>
      <c r="C21" s="223"/>
      <c r="D21" s="224" t="s">
        <v>418</v>
      </c>
      <c r="E21" s="177" t="s">
        <v>2</v>
      </c>
      <c r="F21" s="177"/>
      <c r="G21" s="177"/>
      <c r="H21" s="177"/>
      <c r="I21" s="177"/>
    </row>
    <row r="22" spans="1:11" hidden="1">
      <c r="A22" s="225" t="s">
        <v>297</v>
      </c>
      <c r="B22" s="225"/>
      <c r="C22" s="225"/>
      <c r="D22" s="222" t="s">
        <v>419</v>
      </c>
      <c r="E22" s="177"/>
      <c r="F22" s="177"/>
      <c r="G22" s="177"/>
      <c r="H22" s="177"/>
      <c r="I22" s="177"/>
    </row>
    <row r="23" spans="1:11" hidden="1">
      <c r="A23" s="223" t="s">
        <v>305</v>
      </c>
      <c r="B23" s="223"/>
      <c r="C23" s="223"/>
      <c r="D23" s="224" t="s">
        <v>420</v>
      </c>
      <c r="E23" s="177" t="s">
        <v>2</v>
      </c>
      <c r="F23" s="177"/>
      <c r="G23" s="177"/>
      <c r="H23" s="177"/>
      <c r="I23" s="177"/>
    </row>
    <row r="24" spans="1:11" hidden="1">
      <c r="A24" s="223" t="s">
        <v>305</v>
      </c>
      <c r="B24" s="223"/>
      <c r="C24" s="223"/>
      <c r="D24" s="224" t="s">
        <v>421</v>
      </c>
      <c r="E24" s="177" t="s">
        <v>2</v>
      </c>
      <c r="F24" s="177"/>
      <c r="G24" s="177"/>
      <c r="H24" s="177"/>
      <c r="I24" s="177"/>
    </row>
    <row r="25" spans="1:11" hidden="1">
      <c r="A25" s="223" t="s">
        <v>305</v>
      </c>
      <c r="B25" s="223"/>
      <c r="C25" s="223"/>
      <c r="D25" s="224" t="s">
        <v>422</v>
      </c>
      <c r="E25" s="177" t="s">
        <v>2</v>
      </c>
      <c r="F25" s="177"/>
      <c r="G25" s="177"/>
      <c r="H25" s="177"/>
      <c r="I25" s="177"/>
    </row>
    <row r="26" spans="1:11" hidden="1">
      <c r="A26" s="262" t="s">
        <v>298</v>
      </c>
      <c r="B26" s="262"/>
      <c r="C26" s="262"/>
      <c r="D26" s="222" t="s">
        <v>423</v>
      </c>
      <c r="E26" s="177"/>
      <c r="F26" s="177"/>
      <c r="G26" s="177"/>
      <c r="H26" s="177"/>
      <c r="I26" s="177"/>
    </row>
    <row r="27" spans="1:11" hidden="1">
      <c r="A27" s="223" t="s">
        <v>302</v>
      </c>
      <c r="B27" s="223"/>
      <c r="C27" s="223"/>
      <c r="D27" s="224" t="s">
        <v>424</v>
      </c>
      <c r="E27" s="177" t="s">
        <v>2</v>
      </c>
      <c r="F27" s="177"/>
      <c r="G27" s="177"/>
      <c r="H27" s="177"/>
      <c r="I27" s="177"/>
    </row>
    <row r="28" spans="1:11" hidden="1">
      <c r="A28" s="223" t="s">
        <v>303</v>
      </c>
      <c r="B28" s="223"/>
      <c r="C28" s="223"/>
      <c r="D28" s="224" t="s">
        <v>425</v>
      </c>
      <c r="E28" s="177" t="s">
        <v>2</v>
      </c>
      <c r="F28" s="177"/>
      <c r="G28" s="177"/>
      <c r="H28" s="177"/>
      <c r="I28" s="177"/>
    </row>
    <row r="29" spans="1:11" hidden="1">
      <c r="A29" s="223" t="s">
        <v>304</v>
      </c>
      <c r="B29" s="223"/>
      <c r="C29" s="223"/>
      <c r="D29" s="224" t="s">
        <v>426</v>
      </c>
      <c r="E29" s="177" t="s">
        <v>2</v>
      </c>
      <c r="F29" s="177"/>
      <c r="G29" s="177"/>
      <c r="H29" s="177"/>
      <c r="I29" s="177"/>
    </row>
    <row r="30" spans="1:11" hidden="1">
      <c r="A30" s="223" t="s">
        <v>312</v>
      </c>
      <c r="B30" s="223"/>
      <c r="C30" s="223"/>
      <c r="D30" s="224" t="s">
        <v>427</v>
      </c>
      <c r="E30" s="177"/>
      <c r="F30" s="177"/>
      <c r="G30" s="177"/>
      <c r="H30" s="177"/>
      <c r="I30" s="177"/>
    </row>
    <row r="31" spans="1:11" hidden="1">
      <c r="A31" s="223" t="s">
        <v>313</v>
      </c>
      <c r="B31" s="223"/>
      <c r="C31" s="223"/>
      <c r="D31" s="224" t="s">
        <v>428</v>
      </c>
      <c r="E31" s="177" t="s">
        <v>2</v>
      </c>
      <c r="F31" s="177"/>
      <c r="G31" s="177"/>
      <c r="H31" s="177"/>
      <c r="I31" s="177"/>
    </row>
    <row r="32" spans="1:11">
      <c r="A32" s="262" t="s">
        <v>306</v>
      </c>
      <c r="B32" s="262"/>
      <c r="C32" s="262"/>
      <c r="D32" s="222" t="s">
        <v>429</v>
      </c>
      <c r="E32" s="177"/>
      <c r="F32" s="177"/>
      <c r="G32" s="177"/>
      <c r="H32" s="177"/>
      <c r="I32" s="177"/>
    </row>
    <row r="33" spans="1:9" ht="22.5">
      <c r="A33" s="223" t="s">
        <v>308</v>
      </c>
      <c r="B33" s="223"/>
      <c r="C33" s="223" t="s">
        <v>588</v>
      </c>
      <c r="D33" s="224" t="s">
        <v>430</v>
      </c>
      <c r="E33" s="177" t="s">
        <v>2</v>
      </c>
      <c r="F33" s="177">
        <v>1</v>
      </c>
      <c r="G33" s="177">
        <v>57600</v>
      </c>
      <c r="H33" s="177">
        <f>G33*(1+$I$5)</f>
        <v>72000</v>
      </c>
      <c r="I33" s="177">
        <f t="shared" ref="I33:I62" si="0">H33*F33</f>
        <v>72000</v>
      </c>
    </row>
    <row r="34" spans="1:9" ht="22.5">
      <c r="A34" s="223" t="s">
        <v>309</v>
      </c>
      <c r="B34" s="223" t="s">
        <v>560</v>
      </c>
      <c r="C34" s="223" t="s">
        <v>561</v>
      </c>
      <c r="D34" s="224" t="s">
        <v>431</v>
      </c>
      <c r="E34" s="177" t="s">
        <v>2</v>
      </c>
      <c r="F34" s="177">
        <v>1</v>
      </c>
      <c r="G34" s="177">
        <v>32.21</v>
      </c>
      <c r="H34" s="177">
        <f t="shared" ref="H34:H62" si="1">G34*(1+$I$5)</f>
        <v>40.262500000000003</v>
      </c>
      <c r="I34" s="177">
        <f t="shared" si="0"/>
        <v>40.262500000000003</v>
      </c>
    </row>
    <row r="35" spans="1:9">
      <c r="A35" s="223" t="s">
        <v>310</v>
      </c>
      <c r="B35" s="223" t="s">
        <v>562</v>
      </c>
      <c r="C35" s="223" t="s">
        <v>563</v>
      </c>
      <c r="D35" s="224" t="s">
        <v>432</v>
      </c>
      <c r="E35" s="177" t="s">
        <v>2</v>
      </c>
      <c r="F35" s="177">
        <v>5</v>
      </c>
      <c r="G35" s="177">
        <v>49.79</v>
      </c>
      <c r="H35" s="177">
        <f t="shared" si="1"/>
        <v>62.237499999999997</v>
      </c>
      <c r="I35" s="177">
        <f t="shared" si="0"/>
        <v>311.1875</v>
      </c>
    </row>
    <row r="36" spans="1:9">
      <c r="A36" s="262" t="s">
        <v>307</v>
      </c>
      <c r="B36" s="262"/>
      <c r="C36" s="262"/>
      <c r="D36" s="222" t="s">
        <v>433</v>
      </c>
      <c r="E36" s="177"/>
      <c r="F36" s="177"/>
      <c r="G36" s="177"/>
      <c r="H36" s="177"/>
      <c r="I36" s="177">
        <f t="shared" si="0"/>
        <v>0</v>
      </c>
    </row>
    <row r="37" spans="1:9">
      <c r="A37" s="223" t="s">
        <v>311</v>
      </c>
      <c r="B37" s="223" t="s">
        <v>564</v>
      </c>
      <c r="C37" s="223" t="s">
        <v>563</v>
      </c>
      <c r="D37" s="224" t="s">
        <v>434</v>
      </c>
      <c r="E37" s="177" t="s">
        <v>1</v>
      </c>
      <c r="F37" s="177">
        <v>24</v>
      </c>
      <c r="G37" s="177">
        <v>16.34</v>
      </c>
      <c r="H37" s="177">
        <f t="shared" si="1"/>
        <v>20.425000000000001</v>
      </c>
      <c r="I37" s="177">
        <f t="shared" si="0"/>
        <v>490.20000000000005</v>
      </c>
    </row>
    <row r="38" spans="1:9">
      <c r="A38" s="223" t="s">
        <v>314</v>
      </c>
      <c r="B38" s="223" t="s">
        <v>565</v>
      </c>
      <c r="C38" s="223" t="s">
        <v>563</v>
      </c>
      <c r="D38" s="224" t="s">
        <v>435</v>
      </c>
      <c r="E38" s="177" t="s">
        <v>1</v>
      </c>
      <c r="F38" s="177">
        <v>50</v>
      </c>
      <c r="G38" s="177">
        <v>21.49</v>
      </c>
      <c r="H38" s="177">
        <f t="shared" si="1"/>
        <v>26.862499999999997</v>
      </c>
      <c r="I38" s="177">
        <f t="shared" si="0"/>
        <v>1343.1249999999998</v>
      </c>
    </row>
    <row r="39" spans="1:9">
      <c r="A39" s="223" t="s">
        <v>315</v>
      </c>
      <c r="B39" s="223" t="s">
        <v>566</v>
      </c>
      <c r="C39" s="223" t="s">
        <v>563</v>
      </c>
      <c r="D39" s="224" t="s">
        <v>436</v>
      </c>
      <c r="E39" s="177" t="s">
        <v>1</v>
      </c>
      <c r="F39" s="177">
        <v>25</v>
      </c>
      <c r="G39" s="177">
        <v>25.34</v>
      </c>
      <c r="H39" s="177">
        <f t="shared" si="1"/>
        <v>31.675000000000001</v>
      </c>
      <c r="I39" s="177">
        <f t="shared" si="0"/>
        <v>791.875</v>
      </c>
    </row>
    <row r="40" spans="1:9">
      <c r="A40" s="223" t="s">
        <v>316</v>
      </c>
      <c r="B40" s="223" t="s">
        <v>567</v>
      </c>
      <c r="C40" s="223" t="s">
        <v>563</v>
      </c>
      <c r="D40" s="224" t="s">
        <v>437</v>
      </c>
      <c r="E40" s="177" t="s">
        <v>1</v>
      </c>
      <c r="F40" s="177">
        <v>87</v>
      </c>
      <c r="G40" s="177">
        <v>36.57</v>
      </c>
      <c r="H40" s="177">
        <f t="shared" si="1"/>
        <v>45.712499999999999</v>
      </c>
      <c r="I40" s="177">
        <f t="shared" si="0"/>
        <v>3976.9874999999997</v>
      </c>
    </row>
    <row r="41" spans="1:9">
      <c r="A41" s="262" t="s">
        <v>317</v>
      </c>
      <c r="B41" s="262"/>
      <c r="C41" s="262"/>
      <c r="D41" s="222" t="s">
        <v>438</v>
      </c>
      <c r="E41" s="177"/>
      <c r="F41" s="177"/>
      <c r="G41" s="177"/>
      <c r="H41" s="177"/>
      <c r="I41" s="177"/>
    </row>
    <row r="42" spans="1:9" ht="22.5">
      <c r="A42" s="223" t="s">
        <v>318</v>
      </c>
      <c r="B42" s="223" t="s">
        <v>568</v>
      </c>
      <c r="C42" s="223" t="s">
        <v>563</v>
      </c>
      <c r="D42" s="224" t="s">
        <v>439</v>
      </c>
      <c r="E42" s="177" t="s">
        <v>2</v>
      </c>
      <c r="F42" s="177">
        <v>6</v>
      </c>
      <c r="G42" s="177">
        <v>41.11</v>
      </c>
      <c r="H42" s="177">
        <f t="shared" si="1"/>
        <v>51.387500000000003</v>
      </c>
      <c r="I42" s="177">
        <f t="shared" si="0"/>
        <v>308.32500000000005</v>
      </c>
    </row>
    <row r="43" spans="1:9" ht="22.5">
      <c r="A43" s="223" t="s">
        <v>319</v>
      </c>
      <c r="B43" s="223" t="s">
        <v>569</v>
      </c>
      <c r="C43" s="223" t="s">
        <v>563</v>
      </c>
      <c r="D43" s="224" t="s">
        <v>440</v>
      </c>
      <c r="E43" s="177" t="s">
        <v>2</v>
      </c>
      <c r="F43" s="177">
        <v>1</v>
      </c>
      <c r="G43" s="177">
        <v>32.369999999999997</v>
      </c>
      <c r="H43" s="177">
        <f t="shared" si="1"/>
        <v>40.462499999999999</v>
      </c>
      <c r="I43" s="177">
        <f t="shared" si="0"/>
        <v>40.462499999999999</v>
      </c>
    </row>
    <row r="44" spans="1:9">
      <c r="A44" s="223" t="s">
        <v>320</v>
      </c>
      <c r="B44" s="223" t="s">
        <v>570</v>
      </c>
      <c r="C44" s="223" t="s">
        <v>561</v>
      </c>
      <c r="D44" s="224" t="s">
        <v>441</v>
      </c>
      <c r="E44" s="177" t="s">
        <v>2</v>
      </c>
      <c r="F44" s="177">
        <v>1</v>
      </c>
      <c r="G44" s="177">
        <v>325.29000000000002</v>
      </c>
      <c r="H44" s="177">
        <f t="shared" si="1"/>
        <v>406.61250000000001</v>
      </c>
      <c r="I44" s="177">
        <f t="shared" si="0"/>
        <v>406.61250000000001</v>
      </c>
    </row>
    <row r="45" spans="1:9">
      <c r="A45" s="223" t="s">
        <v>321</v>
      </c>
      <c r="B45" s="223" t="s">
        <v>571</v>
      </c>
      <c r="C45" s="223" t="s">
        <v>561</v>
      </c>
      <c r="D45" s="224" t="s">
        <v>442</v>
      </c>
      <c r="E45" s="177" t="s">
        <v>2</v>
      </c>
      <c r="F45" s="177">
        <v>7</v>
      </c>
      <c r="G45" s="177">
        <v>263.22000000000003</v>
      </c>
      <c r="H45" s="177">
        <f t="shared" si="1"/>
        <v>329.02500000000003</v>
      </c>
      <c r="I45" s="177">
        <f t="shared" si="0"/>
        <v>2303.1750000000002</v>
      </c>
    </row>
    <row r="46" spans="1:9">
      <c r="A46" s="262" t="s">
        <v>322</v>
      </c>
      <c r="B46" s="262"/>
      <c r="C46" s="262"/>
      <c r="D46" s="222" t="s">
        <v>443</v>
      </c>
      <c r="E46" s="177"/>
      <c r="F46" s="177"/>
      <c r="G46" s="177"/>
      <c r="H46" s="177"/>
      <c r="I46" s="177"/>
    </row>
    <row r="47" spans="1:9" ht="22.5">
      <c r="A47" s="223" t="s">
        <v>323</v>
      </c>
      <c r="B47" s="223" t="s">
        <v>572</v>
      </c>
      <c r="C47" s="223" t="s">
        <v>573</v>
      </c>
      <c r="D47" s="224" t="s">
        <v>444</v>
      </c>
      <c r="E47" s="177" t="s">
        <v>2</v>
      </c>
      <c r="F47" s="177">
        <v>5</v>
      </c>
      <c r="G47" s="177">
        <v>234.88</v>
      </c>
      <c r="H47" s="177">
        <f t="shared" si="1"/>
        <v>293.60000000000002</v>
      </c>
      <c r="I47" s="177">
        <f t="shared" si="0"/>
        <v>1468</v>
      </c>
    </row>
    <row r="48" spans="1:9" ht="22.5">
      <c r="A48" s="223" t="s">
        <v>324</v>
      </c>
      <c r="B48" s="223" t="s">
        <v>574</v>
      </c>
      <c r="C48" s="223" t="s">
        <v>573</v>
      </c>
      <c r="D48" s="224" t="s">
        <v>446</v>
      </c>
      <c r="E48" s="177" t="s">
        <v>2</v>
      </c>
      <c r="F48" s="177">
        <v>3</v>
      </c>
      <c r="G48" s="177">
        <v>365.86</v>
      </c>
      <c r="H48" s="177">
        <f t="shared" si="1"/>
        <v>457.32500000000005</v>
      </c>
      <c r="I48" s="177">
        <f t="shared" si="0"/>
        <v>1371.9750000000001</v>
      </c>
    </row>
    <row r="49" spans="1:9" ht="22.5">
      <c r="A49" s="223" t="s">
        <v>325</v>
      </c>
      <c r="B49" s="223" t="s">
        <v>575</v>
      </c>
      <c r="C49" s="223" t="s">
        <v>573</v>
      </c>
      <c r="D49" s="224" t="s">
        <v>445</v>
      </c>
      <c r="E49" s="177" t="s">
        <v>2</v>
      </c>
      <c r="F49" s="177">
        <v>1</v>
      </c>
      <c r="G49" s="177">
        <v>326.88</v>
      </c>
      <c r="H49" s="177">
        <f t="shared" si="1"/>
        <v>408.6</v>
      </c>
      <c r="I49" s="177">
        <f t="shared" si="0"/>
        <v>408.6</v>
      </c>
    </row>
    <row r="50" spans="1:9" ht="22.5">
      <c r="A50" s="223" t="s">
        <v>326</v>
      </c>
      <c r="B50" s="223" t="s">
        <v>576</v>
      </c>
      <c r="C50" s="223" t="s">
        <v>573</v>
      </c>
      <c r="D50" s="224" t="s">
        <v>447</v>
      </c>
      <c r="E50" s="177" t="s">
        <v>2</v>
      </c>
      <c r="F50" s="177">
        <v>1</v>
      </c>
      <c r="G50" s="177">
        <v>190.53</v>
      </c>
      <c r="H50" s="177">
        <f t="shared" si="1"/>
        <v>238.16249999999999</v>
      </c>
      <c r="I50" s="177">
        <f t="shared" si="0"/>
        <v>238.16249999999999</v>
      </c>
    </row>
    <row r="51" spans="1:9" ht="22.5">
      <c r="A51" s="223" t="s">
        <v>327</v>
      </c>
      <c r="B51" s="223" t="s">
        <v>577</v>
      </c>
      <c r="C51" s="223" t="s">
        <v>563</v>
      </c>
      <c r="D51" s="224" t="s">
        <v>540</v>
      </c>
      <c r="E51" s="177" t="s">
        <v>2</v>
      </c>
      <c r="F51" s="177">
        <v>2</v>
      </c>
      <c r="G51" s="177">
        <v>276.26</v>
      </c>
      <c r="H51" s="177">
        <f t="shared" si="1"/>
        <v>345.32499999999999</v>
      </c>
      <c r="I51" s="177">
        <f t="shared" si="0"/>
        <v>690.65</v>
      </c>
    </row>
    <row r="52" spans="1:9" ht="22.5">
      <c r="A52" s="223" t="s">
        <v>328</v>
      </c>
      <c r="B52" s="223" t="s">
        <v>578</v>
      </c>
      <c r="C52" s="223" t="s">
        <v>563</v>
      </c>
      <c r="D52" s="224" t="s">
        <v>448</v>
      </c>
      <c r="E52" s="177" t="s">
        <v>2</v>
      </c>
      <c r="F52" s="177">
        <v>1</v>
      </c>
      <c r="G52" s="177">
        <v>928.23</v>
      </c>
      <c r="H52" s="177">
        <f t="shared" si="1"/>
        <v>1160.2874999999999</v>
      </c>
      <c r="I52" s="177">
        <f t="shared" si="0"/>
        <v>1160.2874999999999</v>
      </c>
    </row>
    <row r="53" spans="1:9">
      <c r="A53" s="223" t="s">
        <v>329</v>
      </c>
      <c r="B53" s="223" t="s">
        <v>579</v>
      </c>
      <c r="C53" s="223" t="s">
        <v>573</v>
      </c>
      <c r="D53" s="224" t="s">
        <v>449</v>
      </c>
      <c r="E53" s="177" t="s">
        <v>2</v>
      </c>
      <c r="F53" s="177">
        <v>8</v>
      </c>
      <c r="G53" s="177">
        <v>67.540000000000006</v>
      </c>
      <c r="H53" s="177">
        <f t="shared" si="1"/>
        <v>84.425000000000011</v>
      </c>
      <c r="I53" s="177">
        <f t="shared" si="0"/>
        <v>675.40000000000009</v>
      </c>
    </row>
    <row r="54" spans="1:9">
      <c r="A54" s="223" t="s">
        <v>330</v>
      </c>
      <c r="B54" s="223" t="s">
        <v>580</v>
      </c>
      <c r="C54" s="223" t="s">
        <v>563</v>
      </c>
      <c r="D54" s="224" t="s">
        <v>450</v>
      </c>
      <c r="E54" s="177" t="s">
        <v>2</v>
      </c>
      <c r="F54" s="177">
        <v>3</v>
      </c>
      <c r="G54" s="177">
        <v>11.86</v>
      </c>
      <c r="H54" s="177">
        <f t="shared" si="1"/>
        <v>14.824999999999999</v>
      </c>
      <c r="I54" s="177">
        <f t="shared" si="0"/>
        <v>44.474999999999994</v>
      </c>
    </row>
    <row r="55" spans="1:9">
      <c r="A55" s="223" t="s">
        <v>331</v>
      </c>
      <c r="B55" s="223" t="s">
        <v>581</v>
      </c>
      <c r="C55" s="223" t="s">
        <v>563</v>
      </c>
      <c r="D55" s="224" t="s">
        <v>451</v>
      </c>
      <c r="E55" s="177" t="s">
        <v>2</v>
      </c>
      <c r="F55" s="177">
        <v>1</v>
      </c>
      <c r="G55" s="177">
        <v>107.48</v>
      </c>
      <c r="H55" s="177">
        <f t="shared" si="1"/>
        <v>134.35</v>
      </c>
      <c r="I55" s="177">
        <f t="shared" si="0"/>
        <v>134.35</v>
      </c>
    </row>
    <row r="56" spans="1:9">
      <c r="A56" s="262" t="s">
        <v>332</v>
      </c>
      <c r="B56" s="262"/>
      <c r="C56" s="262"/>
      <c r="D56" s="222" t="s">
        <v>452</v>
      </c>
      <c r="E56" s="177"/>
      <c r="F56" s="177"/>
      <c r="G56" s="177"/>
      <c r="H56" s="177"/>
      <c r="I56" s="177"/>
    </row>
    <row r="57" spans="1:9">
      <c r="A57" s="223" t="s">
        <v>333</v>
      </c>
      <c r="B57" s="223" t="s">
        <v>582</v>
      </c>
      <c r="C57" s="223" t="s">
        <v>563</v>
      </c>
      <c r="D57" s="224" t="s">
        <v>453</v>
      </c>
      <c r="E57" s="177" t="s">
        <v>2</v>
      </c>
      <c r="F57" s="177">
        <v>2</v>
      </c>
      <c r="G57" s="177">
        <v>105.19</v>
      </c>
      <c r="H57" s="177">
        <f t="shared" si="1"/>
        <v>131.48750000000001</v>
      </c>
      <c r="I57" s="177">
        <f t="shared" si="0"/>
        <v>262.97500000000002</v>
      </c>
    </row>
    <row r="58" spans="1:9">
      <c r="A58" s="223" t="s">
        <v>334</v>
      </c>
      <c r="B58" s="223" t="s">
        <v>583</v>
      </c>
      <c r="C58" s="223" t="s">
        <v>563</v>
      </c>
      <c r="D58" s="224" t="s">
        <v>454</v>
      </c>
      <c r="E58" s="177" t="s">
        <v>2</v>
      </c>
      <c r="F58" s="177">
        <v>5</v>
      </c>
      <c r="G58" s="177">
        <v>221.92</v>
      </c>
      <c r="H58" s="177">
        <f t="shared" si="1"/>
        <v>277.39999999999998</v>
      </c>
      <c r="I58" s="177">
        <f t="shared" si="0"/>
        <v>1387</v>
      </c>
    </row>
    <row r="59" spans="1:9">
      <c r="A59" s="223" t="s">
        <v>335</v>
      </c>
      <c r="B59" s="223" t="s">
        <v>584</v>
      </c>
      <c r="C59" s="223" t="s">
        <v>563</v>
      </c>
      <c r="D59" s="224" t="s">
        <v>455</v>
      </c>
      <c r="E59" s="177" t="s">
        <v>2</v>
      </c>
      <c r="F59" s="177">
        <v>9</v>
      </c>
      <c r="G59" s="177">
        <v>54.19</v>
      </c>
      <c r="H59" s="177">
        <f t="shared" si="1"/>
        <v>67.737499999999997</v>
      </c>
      <c r="I59" s="177">
        <f t="shared" si="0"/>
        <v>609.63749999999993</v>
      </c>
    </row>
    <row r="60" spans="1:9">
      <c r="A60" s="223" t="s">
        <v>336</v>
      </c>
      <c r="B60" s="223" t="s">
        <v>585</v>
      </c>
      <c r="C60" s="223" t="s">
        <v>573</v>
      </c>
      <c r="D60" s="224" t="s">
        <v>456</v>
      </c>
      <c r="E60" s="177" t="s">
        <v>2</v>
      </c>
      <c r="F60" s="177">
        <v>2</v>
      </c>
      <c r="G60" s="177">
        <v>186.25</v>
      </c>
      <c r="H60" s="177">
        <f t="shared" si="1"/>
        <v>232.8125</v>
      </c>
      <c r="I60" s="177">
        <f t="shared" si="0"/>
        <v>465.625</v>
      </c>
    </row>
    <row r="61" spans="1:9" ht="22.5">
      <c r="A61" s="223" t="s">
        <v>337</v>
      </c>
      <c r="B61" s="223" t="s">
        <v>586</v>
      </c>
      <c r="C61" s="223" t="s">
        <v>573</v>
      </c>
      <c r="D61" s="224" t="s">
        <v>457</v>
      </c>
      <c r="E61" s="177" t="s">
        <v>2</v>
      </c>
      <c r="F61" s="177">
        <v>6</v>
      </c>
      <c r="G61" s="177">
        <v>303.42</v>
      </c>
      <c r="H61" s="177">
        <f t="shared" si="1"/>
        <v>379.27500000000003</v>
      </c>
      <c r="I61" s="177">
        <f t="shared" si="0"/>
        <v>2275.65</v>
      </c>
    </row>
    <row r="62" spans="1:9" ht="22.5">
      <c r="A62" s="223" t="s">
        <v>338</v>
      </c>
      <c r="B62" s="223" t="s">
        <v>587</v>
      </c>
      <c r="C62" s="223" t="s">
        <v>573</v>
      </c>
      <c r="D62" s="224" t="s">
        <v>458</v>
      </c>
      <c r="E62" s="177" t="s">
        <v>2</v>
      </c>
      <c r="F62" s="177">
        <v>2</v>
      </c>
      <c r="G62" s="177">
        <v>311.87</v>
      </c>
      <c r="H62" s="177">
        <f t="shared" si="1"/>
        <v>389.83749999999998</v>
      </c>
      <c r="I62" s="177">
        <f t="shared" si="0"/>
        <v>779.67499999999995</v>
      </c>
    </row>
    <row r="63" spans="1:9">
      <c r="A63" s="253"/>
      <c r="B63" s="274"/>
      <c r="C63" s="274"/>
      <c r="D63" s="336" t="s">
        <v>24</v>
      </c>
      <c r="E63" s="336"/>
      <c r="F63" s="336"/>
      <c r="G63" s="336"/>
      <c r="H63" s="337"/>
      <c r="I63" s="158">
        <f>SUM(I13:I62)</f>
        <v>93984.675000000017</v>
      </c>
    </row>
    <row r="64" spans="1:9">
      <c r="A64" s="187"/>
      <c r="B64" s="187"/>
      <c r="C64" s="187"/>
      <c r="D64" s="187"/>
      <c r="E64" s="187"/>
      <c r="F64" s="187"/>
      <c r="G64" s="187"/>
      <c r="H64" s="187"/>
      <c r="I64" s="163"/>
    </row>
    <row r="65" spans="1:9">
      <c r="A65" s="261">
        <v>6</v>
      </c>
      <c r="B65" s="261"/>
      <c r="C65" s="261"/>
      <c r="D65" s="227" t="s">
        <v>557</v>
      </c>
      <c r="E65" s="228"/>
      <c r="F65" s="160"/>
      <c r="G65" s="160"/>
      <c r="H65" s="160"/>
      <c r="I65" s="161"/>
    </row>
    <row r="66" spans="1:9" hidden="1">
      <c r="A66" s="262" t="s">
        <v>11</v>
      </c>
      <c r="B66" s="262"/>
      <c r="C66" s="262"/>
      <c r="D66" s="222" t="s">
        <v>459</v>
      </c>
      <c r="E66" s="177"/>
      <c r="F66" s="177"/>
      <c r="G66" s="177"/>
      <c r="H66" s="177"/>
      <c r="I66" s="177"/>
    </row>
    <row r="67" spans="1:9" hidden="1">
      <c r="A67" s="223" t="s">
        <v>341</v>
      </c>
      <c r="B67" s="223"/>
      <c r="C67" s="223"/>
      <c r="D67" s="224" t="s">
        <v>460</v>
      </c>
      <c r="E67" s="177" t="s">
        <v>1</v>
      </c>
      <c r="F67" s="177"/>
      <c r="G67" s="177"/>
      <c r="H67" s="177"/>
      <c r="I67" s="177"/>
    </row>
    <row r="68" spans="1:9" hidden="1">
      <c r="A68" s="223" t="s">
        <v>342</v>
      </c>
      <c r="B68" s="223"/>
      <c r="C68" s="223"/>
      <c r="D68" s="224" t="s">
        <v>461</v>
      </c>
      <c r="E68" s="177" t="s">
        <v>1</v>
      </c>
      <c r="F68" s="177"/>
      <c r="G68" s="177"/>
      <c r="H68" s="177"/>
      <c r="I68" s="177"/>
    </row>
    <row r="69" spans="1:9" hidden="1">
      <c r="A69" s="262" t="s">
        <v>12</v>
      </c>
      <c r="B69" s="262"/>
      <c r="C69" s="262"/>
      <c r="D69" s="222" t="s">
        <v>462</v>
      </c>
      <c r="E69" s="177"/>
      <c r="F69" s="177"/>
      <c r="G69" s="177"/>
      <c r="H69" s="177"/>
      <c r="I69" s="177"/>
    </row>
    <row r="70" spans="1:9" hidden="1">
      <c r="A70" s="223" t="s">
        <v>343</v>
      </c>
      <c r="B70" s="223"/>
      <c r="C70" s="223"/>
      <c r="D70" s="224" t="s">
        <v>463</v>
      </c>
      <c r="E70" s="177" t="s">
        <v>1</v>
      </c>
      <c r="F70" s="177"/>
      <c r="G70" s="177"/>
      <c r="H70" s="177"/>
      <c r="I70" s="177"/>
    </row>
    <row r="71" spans="1:9" hidden="1">
      <c r="A71" s="223" t="s">
        <v>344</v>
      </c>
      <c r="B71" s="223"/>
      <c r="C71" s="223"/>
      <c r="D71" s="224" t="s">
        <v>464</v>
      </c>
      <c r="E71" s="177" t="s">
        <v>1</v>
      </c>
      <c r="F71" s="177"/>
      <c r="G71" s="177"/>
      <c r="H71" s="177"/>
      <c r="I71" s="177"/>
    </row>
    <row r="72" spans="1:9" hidden="1">
      <c r="A72" s="223" t="s">
        <v>345</v>
      </c>
      <c r="B72" s="223"/>
      <c r="C72" s="223"/>
      <c r="D72" s="224" t="s">
        <v>465</v>
      </c>
      <c r="E72" s="177" t="s">
        <v>1</v>
      </c>
      <c r="F72" s="177"/>
      <c r="G72" s="177"/>
      <c r="H72" s="177"/>
      <c r="I72" s="177"/>
    </row>
    <row r="73" spans="1:9" hidden="1">
      <c r="A73" s="223" t="s">
        <v>346</v>
      </c>
      <c r="B73" s="223"/>
      <c r="C73" s="223"/>
      <c r="D73" s="224" t="s">
        <v>466</v>
      </c>
      <c r="E73" s="177" t="s">
        <v>1</v>
      </c>
      <c r="F73" s="177"/>
      <c r="G73" s="177"/>
      <c r="H73" s="177"/>
      <c r="I73" s="177"/>
    </row>
    <row r="74" spans="1:9" hidden="1">
      <c r="A74" s="223" t="s">
        <v>347</v>
      </c>
      <c r="B74" s="223"/>
      <c r="C74" s="223"/>
      <c r="D74" s="224" t="s">
        <v>467</v>
      </c>
      <c r="E74" s="177" t="s">
        <v>1</v>
      </c>
      <c r="F74" s="177"/>
      <c r="G74" s="177"/>
      <c r="H74" s="177"/>
      <c r="I74" s="177"/>
    </row>
    <row r="75" spans="1:9" hidden="1">
      <c r="A75" s="223" t="s">
        <v>348</v>
      </c>
      <c r="B75" s="223"/>
      <c r="C75" s="223"/>
      <c r="D75" s="224" t="s">
        <v>468</v>
      </c>
      <c r="E75" s="177" t="s">
        <v>1</v>
      </c>
      <c r="F75" s="177"/>
      <c r="G75" s="177"/>
      <c r="H75" s="177"/>
      <c r="I75" s="177"/>
    </row>
    <row r="76" spans="1:9">
      <c r="A76" s="262" t="s">
        <v>13</v>
      </c>
      <c r="B76" s="262"/>
      <c r="C76" s="262"/>
      <c r="D76" s="222" t="s">
        <v>469</v>
      </c>
      <c r="E76" s="177"/>
      <c r="F76" s="177"/>
      <c r="G76" s="177"/>
      <c r="H76" s="177"/>
      <c r="I76" s="177"/>
    </row>
    <row r="77" spans="1:9">
      <c r="A77" s="223" t="s">
        <v>349</v>
      </c>
      <c r="B77" s="223" t="s">
        <v>589</v>
      </c>
      <c r="C77" s="223" t="s">
        <v>561</v>
      </c>
      <c r="D77" s="224" t="s">
        <v>470</v>
      </c>
      <c r="E77" s="177" t="s">
        <v>1</v>
      </c>
      <c r="F77" s="177">
        <v>70</v>
      </c>
      <c r="G77" s="177">
        <v>9.6199999999999992</v>
      </c>
      <c r="H77" s="177">
        <f t="shared" ref="H77:H121" si="2">G77*(1+$I$5)</f>
        <v>12.024999999999999</v>
      </c>
      <c r="I77" s="177">
        <f t="shared" ref="I77:I121" si="3">H77*F77</f>
        <v>841.74999999999989</v>
      </c>
    </row>
    <row r="78" spans="1:9">
      <c r="A78" s="223" t="s">
        <v>350</v>
      </c>
      <c r="B78" s="223" t="s">
        <v>590</v>
      </c>
      <c r="C78" s="223" t="s">
        <v>561</v>
      </c>
      <c r="D78" s="224" t="s">
        <v>471</v>
      </c>
      <c r="E78" s="177" t="s">
        <v>1</v>
      </c>
      <c r="F78" s="177">
        <v>35</v>
      </c>
      <c r="G78" s="177">
        <v>7.34</v>
      </c>
      <c r="H78" s="177">
        <f t="shared" si="2"/>
        <v>9.1750000000000007</v>
      </c>
      <c r="I78" s="177">
        <f t="shared" si="3"/>
        <v>321.125</v>
      </c>
    </row>
    <row r="79" spans="1:9">
      <c r="A79" s="262" t="s">
        <v>339</v>
      </c>
      <c r="B79" s="262"/>
      <c r="C79" s="262"/>
      <c r="D79" s="222" t="s">
        <v>472</v>
      </c>
      <c r="E79" s="177"/>
      <c r="F79" s="177"/>
      <c r="G79" s="177"/>
      <c r="H79" s="177"/>
      <c r="I79" s="177"/>
    </row>
    <row r="80" spans="1:9">
      <c r="A80" s="223" t="s">
        <v>351</v>
      </c>
      <c r="B80" s="223" t="s">
        <v>591</v>
      </c>
      <c r="C80" s="223" t="s">
        <v>563</v>
      </c>
      <c r="D80" s="224" t="s">
        <v>473</v>
      </c>
      <c r="E80" s="177" t="s">
        <v>2</v>
      </c>
      <c r="F80" s="177">
        <v>24</v>
      </c>
      <c r="G80" s="177">
        <v>6.89</v>
      </c>
      <c r="H80" s="177">
        <f t="shared" si="2"/>
        <v>8.6124999999999989</v>
      </c>
      <c r="I80" s="177">
        <f t="shared" si="3"/>
        <v>206.7</v>
      </c>
    </row>
    <row r="81" spans="1:9">
      <c r="A81" s="223" t="s">
        <v>352</v>
      </c>
      <c r="B81" s="223" t="s">
        <v>592</v>
      </c>
      <c r="C81" s="223" t="s">
        <v>563</v>
      </c>
      <c r="D81" s="224" t="s">
        <v>474</v>
      </c>
      <c r="E81" s="177" t="s">
        <v>2</v>
      </c>
      <c r="F81" s="177">
        <v>11</v>
      </c>
      <c r="G81" s="177">
        <v>11.43</v>
      </c>
      <c r="H81" s="177">
        <f t="shared" si="2"/>
        <v>14.2875</v>
      </c>
      <c r="I81" s="177">
        <f t="shared" si="3"/>
        <v>157.16249999999999</v>
      </c>
    </row>
    <row r="82" spans="1:9">
      <c r="A82" s="262" t="s">
        <v>340</v>
      </c>
      <c r="B82" s="262"/>
      <c r="C82" s="262"/>
      <c r="D82" s="222" t="s">
        <v>475</v>
      </c>
      <c r="E82" s="177"/>
      <c r="F82" s="177"/>
      <c r="G82" s="177"/>
      <c r="H82" s="177"/>
      <c r="I82" s="177"/>
    </row>
    <row r="83" spans="1:9">
      <c r="A83" s="223" t="s">
        <v>353</v>
      </c>
      <c r="B83" s="223" t="s">
        <v>593</v>
      </c>
      <c r="C83" s="223" t="s">
        <v>563</v>
      </c>
      <c r="D83" s="224" t="s">
        <v>476</v>
      </c>
      <c r="E83" s="177" t="s">
        <v>2</v>
      </c>
      <c r="F83" s="177">
        <v>7</v>
      </c>
      <c r="G83" s="177">
        <v>32.85</v>
      </c>
      <c r="H83" s="177">
        <f t="shared" si="2"/>
        <v>41.0625</v>
      </c>
      <c r="I83" s="177">
        <f t="shared" si="3"/>
        <v>287.4375</v>
      </c>
    </row>
    <row r="84" spans="1:9">
      <c r="A84" s="262" t="s">
        <v>354</v>
      </c>
      <c r="B84" s="262"/>
      <c r="C84" s="262"/>
      <c r="D84" s="222" t="s">
        <v>477</v>
      </c>
      <c r="E84" s="177"/>
      <c r="F84" s="177"/>
      <c r="G84" s="177"/>
      <c r="H84" s="177"/>
      <c r="I84" s="177"/>
    </row>
    <row r="85" spans="1:9">
      <c r="A85" s="223" t="s">
        <v>356</v>
      </c>
      <c r="B85" s="223" t="s">
        <v>594</v>
      </c>
      <c r="C85" s="223" t="s">
        <v>573</v>
      </c>
      <c r="D85" s="224" t="s">
        <v>478</v>
      </c>
      <c r="E85" s="177" t="s">
        <v>2</v>
      </c>
      <c r="F85" s="177">
        <v>57</v>
      </c>
      <c r="G85" s="177">
        <v>21.45</v>
      </c>
      <c r="H85" s="177">
        <f t="shared" si="2"/>
        <v>26.8125</v>
      </c>
      <c r="I85" s="177">
        <f t="shared" si="3"/>
        <v>1528.3125</v>
      </c>
    </row>
    <row r="86" spans="1:9">
      <c r="A86" s="223" t="s">
        <v>357</v>
      </c>
      <c r="B86" s="223" t="s">
        <v>595</v>
      </c>
      <c r="C86" s="223" t="s">
        <v>573</v>
      </c>
      <c r="D86" s="224" t="s">
        <v>506</v>
      </c>
      <c r="E86" s="177" t="s">
        <v>2</v>
      </c>
      <c r="F86" s="177">
        <v>5</v>
      </c>
      <c r="G86" s="177">
        <v>34.450000000000003</v>
      </c>
      <c r="H86" s="177">
        <f t="shared" si="2"/>
        <v>43.0625</v>
      </c>
      <c r="I86" s="177">
        <f t="shared" si="3"/>
        <v>215.3125</v>
      </c>
    </row>
    <row r="87" spans="1:9" hidden="1">
      <c r="A87" s="262" t="s">
        <v>355</v>
      </c>
      <c r="B87" s="262"/>
      <c r="C87" s="262"/>
      <c r="D87" s="222" t="s">
        <v>507</v>
      </c>
      <c r="E87" s="177"/>
      <c r="F87" s="177"/>
      <c r="G87" s="177"/>
      <c r="H87" s="177">
        <f t="shared" si="2"/>
        <v>0</v>
      </c>
      <c r="I87" s="177"/>
    </row>
    <row r="88" spans="1:9" hidden="1">
      <c r="A88" s="223" t="s">
        <v>358</v>
      </c>
      <c r="B88" s="223"/>
      <c r="C88" s="223"/>
      <c r="D88" s="224" t="s">
        <v>479</v>
      </c>
      <c r="E88" s="177" t="s">
        <v>2</v>
      </c>
      <c r="F88" s="177"/>
      <c r="G88" s="177"/>
      <c r="H88" s="177">
        <f t="shared" si="2"/>
        <v>0</v>
      </c>
      <c r="I88" s="177"/>
    </row>
    <row r="89" spans="1:9" hidden="1">
      <c r="A89" s="223" t="s">
        <v>359</v>
      </c>
      <c r="B89" s="223"/>
      <c r="C89" s="223"/>
      <c r="D89" s="224" t="s">
        <v>480</v>
      </c>
      <c r="E89" s="177" t="s">
        <v>2</v>
      </c>
      <c r="F89" s="177"/>
      <c r="G89" s="177"/>
      <c r="H89" s="177">
        <f t="shared" si="2"/>
        <v>0</v>
      </c>
      <c r="I89" s="177"/>
    </row>
    <row r="90" spans="1:9" hidden="1">
      <c r="A90" s="223" t="s">
        <v>360</v>
      </c>
      <c r="B90" s="223"/>
      <c r="C90" s="223"/>
      <c r="D90" s="224" t="s">
        <v>481</v>
      </c>
      <c r="E90" s="177" t="s">
        <v>2</v>
      </c>
      <c r="F90" s="177"/>
      <c r="G90" s="177"/>
      <c r="H90" s="177">
        <f t="shared" si="2"/>
        <v>0</v>
      </c>
      <c r="I90" s="177"/>
    </row>
    <row r="91" spans="1:9">
      <c r="A91" s="262" t="s">
        <v>361</v>
      </c>
      <c r="B91" s="262"/>
      <c r="C91" s="262"/>
      <c r="D91" s="222" t="s">
        <v>482</v>
      </c>
      <c r="E91" s="177"/>
      <c r="F91" s="177"/>
      <c r="G91" s="177"/>
      <c r="H91" s="177"/>
      <c r="I91" s="177"/>
    </row>
    <row r="92" spans="1:9" ht="22.5">
      <c r="A92" s="223" t="s">
        <v>362</v>
      </c>
      <c r="B92" s="223" t="s">
        <v>596</v>
      </c>
      <c r="C92" s="223" t="s">
        <v>573</v>
      </c>
      <c r="D92" s="224" t="s">
        <v>483</v>
      </c>
      <c r="E92" s="177" t="s">
        <v>2</v>
      </c>
      <c r="F92" s="177">
        <v>1</v>
      </c>
      <c r="G92" s="177">
        <v>484.88</v>
      </c>
      <c r="H92" s="177">
        <f t="shared" si="2"/>
        <v>606.1</v>
      </c>
      <c r="I92" s="177">
        <f t="shared" si="3"/>
        <v>606.1</v>
      </c>
    </row>
    <row r="93" spans="1:9">
      <c r="A93" s="223" t="s">
        <v>363</v>
      </c>
      <c r="B93" s="223" t="s">
        <v>597</v>
      </c>
      <c r="C93" s="223" t="s">
        <v>563</v>
      </c>
      <c r="D93" s="224" t="s">
        <v>484</v>
      </c>
      <c r="E93" s="177" t="s">
        <v>2</v>
      </c>
      <c r="F93" s="177">
        <v>1</v>
      </c>
      <c r="G93" s="177">
        <v>117.25</v>
      </c>
      <c r="H93" s="177">
        <f t="shared" si="2"/>
        <v>146.5625</v>
      </c>
      <c r="I93" s="177">
        <f t="shared" si="3"/>
        <v>146.5625</v>
      </c>
    </row>
    <row r="94" spans="1:9">
      <c r="A94" s="223" t="s">
        <v>364</v>
      </c>
      <c r="B94" s="223" t="s">
        <v>598</v>
      </c>
      <c r="C94" s="223" t="s">
        <v>563</v>
      </c>
      <c r="D94" s="224" t="s">
        <v>485</v>
      </c>
      <c r="E94" s="177" t="s">
        <v>2</v>
      </c>
      <c r="F94" s="177">
        <v>3</v>
      </c>
      <c r="G94" s="177">
        <v>16.489999999999998</v>
      </c>
      <c r="H94" s="177">
        <f t="shared" si="2"/>
        <v>20.612499999999997</v>
      </c>
      <c r="I94" s="177">
        <f t="shared" si="3"/>
        <v>61.837499999999991</v>
      </c>
    </row>
    <row r="95" spans="1:9">
      <c r="A95" s="223" t="s">
        <v>365</v>
      </c>
      <c r="B95" s="223" t="s">
        <v>599</v>
      </c>
      <c r="C95" s="223" t="s">
        <v>563</v>
      </c>
      <c r="D95" s="224" t="s">
        <v>486</v>
      </c>
      <c r="E95" s="177" t="s">
        <v>2</v>
      </c>
      <c r="F95" s="177">
        <v>3</v>
      </c>
      <c r="G95" s="177">
        <v>16.489999999999998</v>
      </c>
      <c r="H95" s="177">
        <f t="shared" si="2"/>
        <v>20.612499999999997</v>
      </c>
      <c r="I95" s="177">
        <f t="shared" si="3"/>
        <v>61.837499999999991</v>
      </c>
    </row>
    <row r="96" spans="1:9">
      <c r="A96" s="223" t="s">
        <v>366</v>
      </c>
      <c r="B96" s="223" t="s">
        <v>600</v>
      </c>
      <c r="C96" s="223" t="s">
        <v>563</v>
      </c>
      <c r="D96" s="224" t="s">
        <v>487</v>
      </c>
      <c r="E96" s="177" t="s">
        <v>2</v>
      </c>
      <c r="F96" s="177">
        <v>1</v>
      </c>
      <c r="G96" s="177">
        <v>100</v>
      </c>
      <c r="H96" s="177">
        <f t="shared" si="2"/>
        <v>125</v>
      </c>
      <c r="I96" s="177">
        <f t="shared" si="3"/>
        <v>125</v>
      </c>
    </row>
    <row r="97" spans="1:9">
      <c r="A97" s="223" t="s">
        <v>367</v>
      </c>
      <c r="B97" s="223" t="s">
        <v>601</v>
      </c>
      <c r="C97" s="223" t="s">
        <v>563</v>
      </c>
      <c r="D97" s="224" t="s">
        <v>488</v>
      </c>
      <c r="E97" s="177" t="s">
        <v>2</v>
      </c>
      <c r="F97" s="177">
        <v>1</v>
      </c>
      <c r="G97" s="177">
        <v>98</v>
      </c>
      <c r="H97" s="177">
        <f t="shared" si="2"/>
        <v>122.5</v>
      </c>
      <c r="I97" s="177">
        <f t="shared" si="3"/>
        <v>122.5</v>
      </c>
    </row>
    <row r="98" spans="1:9">
      <c r="A98" s="262" t="s">
        <v>368</v>
      </c>
      <c r="B98" s="262"/>
      <c r="C98" s="262"/>
      <c r="D98" s="222" t="s">
        <v>489</v>
      </c>
      <c r="E98" s="177"/>
      <c r="F98" s="177"/>
      <c r="G98" s="177"/>
      <c r="H98" s="177"/>
      <c r="I98" s="177"/>
    </row>
    <row r="99" spans="1:9" ht="22.5">
      <c r="A99" s="223" t="s">
        <v>370</v>
      </c>
      <c r="B99" s="223" t="s">
        <v>596</v>
      </c>
      <c r="C99" s="223" t="s">
        <v>573</v>
      </c>
      <c r="D99" s="224" t="s">
        <v>490</v>
      </c>
      <c r="E99" s="177" t="s">
        <v>2</v>
      </c>
      <c r="F99" s="177">
        <v>1</v>
      </c>
      <c r="G99" s="177">
        <v>484.88</v>
      </c>
      <c r="H99" s="177">
        <f t="shared" si="2"/>
        <v>606.1</v>
      </c>
      <c r="I99" s="177">
        <f t="shared" si="3"/>
        <v>606.1</v>
      </c>
    </row>
    <row r="100" spans="1:9">
      <c r="A100" s="223" t="s">
        <v>371</v>
      </c>
      <c r="B100" s="223" t="s">
        <v>601</v>
      </c>
      <c r="C100" s="223" t="s">
        <v>563</v>
      </c>
      <c r="D100" s="224" t="s">
        <v>488</v>
      </c>
      <c r="E100" s="177" t="s">
        <v>2</v>
      </c>
      <c r="F100" s="177">
        <v>1</v>
      </c>
      <c r="G100" s="177">
        <v>98</v>
      </c>
      <c r="H100" s="177">
        <f t="shared" si="2"/>
        <v>122.5</v>
      </c>
      <c r="I100" s="177">
        <f t="shared" si="3"/>
        <v>122.5</v>
      </c>
    </row>
    <row r="101" spans="1:9">
      <c r="A101" s="223" t="s">
        <v>372</v>
      </c>
      <c r="B101" s="223" t="s">
        <v>598</v>
      </c>
      <c r="C101" s="223" t="s">
        <v>563</v>
      </c>
      <c r="D101" s="224" t="s">
        <v>485</v>
      </c>
      <c r="E101" s="177" t="s">
        <v>2</v>
      </c>
      <c r="F101" s="177">
        <v>2</v>
      </c>
      <c r="G101" s="177">
        <v>16.489999999999998</v>
      </c>
      <c r="H101" s="177">
        <f t="shared" si="2"/>
        <v>20.612499999999997</v>
      </c>
      <c r="I101" s="177">
        <f t="shared" si="3"/>
        <v>41.224999999999994</v>
      </c>
    </row>
    <row r="102" spans="1:9">
      <c r="A102" s="223" t="s">
        <v>373</v>
      </c>
      <c r="B102" s="223" t="s">
        <v>599</v>
      </c>
      <c r="C102" s="223" t="s">
        <v>563</v>
      </c>
      <c r="D102" s="224" t="s">
        <v>486</v>
      </c>
      <c r="E102" s="177" t="s">
        <v>2</v>
      </c>
      <c r="F102" s="177">
        <v>7</v>
      </c>
      <c r="G102" s="177">
        <v>16.489999999999998</v>
      </c>
      <c r="H102" s="177">
        <f t="shared" si="2"/>
        <v>20.612499999999997</v>
      </c>
      <c r="I102" s="177">
        <f t="shared" si="3"/>
        <v>144.28749999999997</v>
      </c>
    </row>
    <row r="103" spans="1:9">
      <c r="A103" s="262" t="s">
        <v>369</v>
      </c>
      <c r="B103" s="262"/>
      <c r="C103" s="262"/>
      <c r="D103" s="222" t="s">
        <v>491</v>
      </c>
      <c r="E103" s="177"/>
      <c r="F103" s="177"/>
      <c r="G103" s="177"/>
      <c r="H103" s="177"/>
      <c r="I103" s="177"/>
    </row>
    <row r="104" spans="1:9" ht="22.5">
      <c r="A104" s="223" t="s">
        <v>374</v>
      </c>
      <c r="B104" s="223" t="s">
        <v>596</v>
      </c>
      <c r="C104" s="223" t="s">
        <v>573</v>
      </c>
      <c r="D104" s="224" t="s">
        <v>490</v>
      </c>
      <c r="E104" s="177" t="s">
        <v>2</v>
      </c>
      <c r="F104" s="177">
        <v>1</v>
      </c>
      <c r="G104" s="177">
        <v>484.88</v>
      </c>
      <c r="H104" s="177">
        <f t="shared" si="2"/>
        <v>606.1</v>
      </c>
      <c r="I104" s="177">
        <f t="shared" si="3"/>
        <v>606.1</v>
      </c>
    </row>
    <row r="105" spans="1:9">
      <c r="A105" s="223" t="s">
        <v>375</v>
      </c>
      <c r="B105" s="223" t="s">
        <v>600</v>
      </c>
      <c r="C105" s="223" t="s">
        <v>563</v>
      </c>
      <c r="D105" s="224" t="s">
        <v>487</v>
      </c>
      <c r="E105" s="177" t="s">
        <v>2</v>
      </c>
      <c r="F105" s="177">
        <v>1</v>
      </c>
      <c r="G105" s="177">
        <v>100</v>
      </c>
      <c r="H105" s="177">
        <f t="shared" si="2"/>
        <v>125</v>
      </c>
      <c r="I105" s="177">
        <f t="shared" si="3"/>
        <v>125</v>
      </c>
    </row>
    <row r="106" spans="1:9">
      <c r="A106" s="223" t="s">
        <v>376</v>
      </c>
      <c r="B106" s="223" t="s">
        <v>598</v>
      </c>
      <c r="C106" s="223" t="s">
        <v>563</v>
      </c>
      <c r="D106" s="224" t="s">
        <v>485</v>
      </c>
      <c r="E106" s="177" t="s">
        <v>2</v>
      </c>
      <c r="F106" s="177">
        <v>1</v>
      </c>
      <c r="G106" s="177">
        <v>16.489999999999998</v>
      </c>
      <c r="H106" s="177">
        <f t="shared" si="2"/>
        <v>20.612499999999997</v>
      </c>
      <c r="I106" s="177">
        <f t="shared" si="3"/>
        <v>20.612499999999997</v>
      </c>
    </row>
    <row r="107" spans="1:9">
      <c r="A107" s="223" t="s">
        <v>377</v>
      </c>
      <c r="B107" s="223" t="s">
        <v>599</v>
      </c>
      <c r="C107" s="223" t="s">
        <v>563</v>
      </c>
      <c r="D107" s="224" t="s">
        <v>505</v>
      </c>
      <c r="E107" s="177" t="s">
        <v>2</v>
      </c>
      <c r="F107" s="177">
        <v>2</v>
      </c>
      <c r="G107" s="177">
        <v>16.489999999999998</v>
      </c>
      <c r="H107" s="177">
        <f t="shared" si="2"/>
        <v>20.612499999999997</v>
      </c>
      <c r="I107" s="177">
        <f t="shared" si="3"/>
        <v>41.224999999999994</v>
      </c>
    </row>
    <row r="108" spans="1:9">
      <c r="A108" s="223" t="s">
        <v>378</v>
      </c>
      <c r="B108" s="223" t="s">
        <v>602</v>
      </c>
      <c r="C108" s="223" t="s">
        <v>563</v>
      </c>
      <c r="D108" s="224" t="s">
        <v>492</v>
      </c>
      <c r="E108" s="177" t="s">
        <v>2</v>
      </c>
      <c r="F108" s="177">
        <v>1</v>
      </c>
      <c r="G108" s="177">
        <v>118.6</v>
      </c>
      <c r="H108" s="177">
        <f t="shared" si="2"/>
        <v>148.25</v>
      </c>
      <c r="I108" s="177">
        <f t="shared" si="3"/>
        <v>148.25</v>
      </c>
    </row>
    <row r="109" spans="1:9">
      <c r="A109" s="262" t="s">
        <v>379</v>
      </c>
      <c r="B109" s="262"/>
      <c r="C109" s="262"/>
      <c r="D109" s="222" t="s">
        <v>503</v>
      </c>
      <c r="E109" s="177"/>
      <c r="F109" s="177"/>
      <c r="G109" s="177"/>
      <c r="H109" s="177"/>
      <c r="I109" s="177"/>
    </row>
    <row r="110" spans="1:9">
      <c r="A110" s="223" t="s">
        <v>383</v>
      </c>
      <c r="B110" s="223" t="s">
        <v>603</v>
      </c>
      <c r="C110" s="223" t="s">
        <v>563</v>
      </c>
      <c r="D110" s="224" t="s">
        <v>504</v>
      </c>
      <c r="E110" s="177" t="s">
        <v>2</v>
      </c>
      <c r="F110" s="177">
        <v>1</v>
      </c>
      <c r="G110" s="177">
        <v>494.33</v>
      </c>
      <c r="H110" s="177">
        <f t="shared" si="2"/>
        <v>617.91250000000002</v>
      </c>
      <c r="I110" s="177">
        <f t="shared" si="3"/>
        <v>617.91250000000002</v>
      </c>
    </row>
    <row r="111" spans="1:9">
      <c r="A111" s="262" t="s">
        <v>380</v>
      </c>
      <c r="B111" s="262"/>
      <c r="C111" s="262"/>
      <c r="D111" s="222" t="s">
        <v>493</v>
      </c>
      <c r="E111" s="177"/>
      <c r="F111" s="177"/>
      <c r="G111" s="177"/>
      <c r="H111" s="177"/>
      <c r="I111" s="177"/>
    </row>
    <row r="112" spans="1:9">
      <c r="A112" s="223" t="s">
        <v>384</v>
      </c>
      <c r="B112" s="223" t="s">
        <v>604</v>
      </c>
      <c r="C112" s="223" t="s">
        <v>563</v>
      </c>
      <c r="D112" s="224" t="s">
        <v>494</v>
      </c>
      <c r="E112" s="177" t="s">
        <v>2</v>
      </c>
      <c r="F112" s="177">
        <v>5</v>
      </c>
      <c r="G112" s="177">
        <v>381.66</v>
      </c>
      <c r="H112" s="177">
        <f t="shared" si="2"/>
        <v>477.07500000000005</v>
      </c>
      <c r="I112" s="177">
        <f t="shared" si="3"/>
        <v>2385.375</v>
      </c>
    </row>
    <row r="113" spans="1:9">
      <c r="A113" s="262" t="s">
        <v>381</v>
      </c>
      <c r="B113" s="262"/>
      <c r="C113" s="262"/>
      <c r="D113" s="222" t="s">
        <v>495</v>
      </c>
      <c r="E113" s="177"/>
      <c r="F113" s="177"/>
      <c r="G113" s="177"/>
      <c r="H113" s="177"/>
      <c r="I113" s="177"/>
    </row>
    <row r="114" spans="1:9">
      <c r="A114" s="223" t="s">
        <v>385</v>
      </c>
      <c r="B114" s="223" t="s">
        <v>605</v>
      </c>
      <c r="C114" s="223" t="s">
        <v>563</v>
      </c>
      <c r="D114" s="224" t="s">
        <v>502</v>
      </c>
      <c r="E114" s="177" t="s">
        <v>2</v>
      </c>
      <c r="F114" s="177">
        <v>1</v>
      </c>
      <c r="G114" s="177">
        <v>124.45</v>
      </c>
      <c r="H114" s="177">
        <f t="shared" si="2"/>
        <v>155.5625</v>
      </c>
      <c r="I114" s="177">
        <f t="shared" si="3"/>
        <v>155.5625</v>
      </c>
    </row>
    <row r="115" spans="1:9">
      <c r="A115" s="262" t="s">
        <v>382</v>
      </c>
      <c r="B115" s="262"/>
      <c r="C115" s="262"/>
      <c r="D115" s="222" t="s">
        <v>496</v>
      </c>
      <c r="E115" s="177"/>
      <c r="F115" s="177"/>
      <c r="G115" s="177"/>
      <c r="H115" s="177"/>
      <c r="I115" s="177">
        <f t="shared" si="3"/>
        <v>0</v>
      </c>
    </row>
    <row r="116" spans="1:9">
      <c r="A116" s="223" t="s">
        <v>386</v>
      </c>
      <c r="B116" s="223" t="s">
        <v>606</v>
      </c>
      <c r="C116" s="223" t="s">
        <v>563</v>
      </c>
      <c r="D116" s="224" t="s">
        <v>497</v>
      </c>
      <c r="E116" s="177" t="s">
        <v>2</v>
      </c>
      <c r="F116" s="177">
        <v>5</v>
      </c>
      <c r="G116" s="177">
        <v>68.86</v>
      </c>
      <c r="H116" s="177">
        <f t="shared" si="2"/>
        <v>86.075000000000003</v>
      </c>
      <c r="I116" s="177">
        <f t="shared" si="3"/>
        <v>430.375</v>
      </c>
    </row>
    <row r="117" spans="1:9">
      <c r="A117" s="223" t="s">
        <v>387</v>
      </c>
      <c r="B117" s="223" t="s">
        <v>607</v>
      </c>
      <c r="C117" s="223" t="s">
        <v>563</v>
      </c>
      <c r="D117" s="224" t="s">
        <v>498</v>
      </c>
      <c r="E117" s="177" t="s">
        <v>2</v>
      </c>
      <c r="F117" s="177">
        <v>89</v>
      </c>
      <c r="G117" s="177">
        <v>109.18</v>
      </c>
      <c r="H117" s="177">
        <f t="shared" si="2"/>
        <v>136.47500000000002</v>
      </c>
      <c r="I117" s="177">
        <f t="shared" si="3"/>
        <v>12146.275000000001</v>
      </c>
    </row>
    <row r="118" spans="1:9">
      <c r="A118" s="262" t="s">
        <v>388</v>
      </c>
      <c r="B118" s="262"/>
      <c r="C118" s="262"/>
      <c r="D118" s="222" t="s">
        <v>508</v>
      </c>
      <c r="E118" s="177"/>
      <c r="F118" s="177"/>
      <c r="G118" s="177"/>
      <c r="H118" s="177"/>
      <c r="I118" s="177"/>
    </row>
    <row r="119" spans="1:9">
      <c r="A119" s="223" t="s">
        <v>389</v>
      </c>
      <c r="B119" s="223" t="s">
        <v>608</v>
      </c>
      <c r="C119" s="223" t="s">
        <v>563</v>
      </c>
      <c r="D119" s="224" t="s">
        <v>499</v>
      </c>
      <c r="E119" s="177" t="s">
        <v>1</v>
      </c>
      <c r="F119" s="177">
        <v>327.95</v>
      </c>
      <c r="G119" s="177">
        <v>106.95</v>
      </c>
      <c r="H119" s="177">
        <f t="shared" si="2"/>
        <v>133.6875</v>
      </c>
      <c r="I119" s="177">
        <f t="shared" si="3"/>
        <v>43842.815624999996</v>
      </c>
    </row>
    <row r="120" spans="1:9">
      <c r="A120" s="229" t="s">
        <v>390</v>
      </c>
      <c r="B120" s="229" t="s">
        <v>609</v>
      </c>
      <c r="C120" s="229" t="s">
        <v>563</v>
      </c>
      <c r="D120" s="230" t="s">
        <v>500</v>
      </c>
      <c r="E120" s="185" t="s">
        <v>2</v>
      </c>
      <c r="F120" s="185">
        <v>42</v>
      </c>
      <c r="G120" s="185">
        <v>24.5</v>
      </c>
      <c r="H120" s="177">
        <f t="shared" si="2"/>
        <v>30.625</v>
      </c>
      <c r="I120" s="177">
        <f t="shared" si="3"/>
        <v>1286.25</v>
      </c>
    </row>
    <row r="121" spans="1:9">
      <c r="A121" s="257" t="s">
        <v>391</v>
      </c>
      <c r="B121" s="257" t="s">
        <v>610</v>
      </c>
      <c r="C121" s="257" t="s">
        <v>563</v>
      </c>
      <c r="D121" s="258" t="s">
        <v>501</v>
      </c>
      <c r="E121" s="186" t="s">
        <v>2</v>
      </c>
      <c r="F121" s="186">
        <v>28</v>
      </c>
      <c r="G121" s="186">
        <v>24.91</v>
      </c>
      <c r="H121" s="177">
        <f t="shared" si="2"/>
        <v>31.137499999999999</v>
      </c>
      <c r="I121" s="256">
        <f t="shared" si="3"/>
        <v>871.85</v>
      </c>
    </row>
    <row r="122" spans="1:9">
      <c r="A122" s="259"/>
      <c r="B122" s="312"/>
      <c r="C122" s="312"/>
      <c r="D122" s="338" t="s">
        <v>24</v>
      </c>
      <c r="E122" s="339"/>
      <c r="F122" s="339"/>
      <c r="G122" s="339"/>
      <c r="H122" s="340"/>
      <c r="I122" s="158">
        <f>SUM(I67:I121)</f>
        <v>68273.353125000009</v>
      </c>
    </row>
    <row r="123" spans="1:9">
      <c r="A123" s="187"/>
      <c r="B123" s="187"/>
      <c r="C123" s="187"/>
      <c r="D123" s="187"/>
      <c r="E123" s="187"/>
      <c r="F123" s="187"/>
      <c r="G123" s="187"/>
      <c r="H123" s="187"/>
      <c r="I123" s="163"/>
    </row>
    <row r="124" spans="1:9">
      <c r="A124" s="261">
        <v>7</v>
      </c>
      <c r="B124" s="261"/>
      <c r="C124" s="261"/>
      <c r="D124" s="227" t="s">
        <v>509</v>
      </c>
      <c r="E124" s="228"/>
      <c r="F124" s="160"/>
      <c r="G124" s="160"/>
      <c r="H124" s="160"/>
      <c r="I124" s="161"/>
    </row>
    <row r="125" spans="1:9" hidden="1">
      <c r="A125" s="262" t="s">
        <v>14</v>
      </c>
      <c r="B125" s="262"/>
      <c r="C125" s="262"/>
      <c r="D125" s="222" t="s">
        <v>510</v>
      </c>
      <c r="E125" s="177"/>
      <c r="F125" s="177"/>
      <c r="G125" s="177"/>
      <c r="H125" s="177"/>
      <c r="I125" s="177"/>
    </row>
    <row r="126" spans="1:9" ht="22.5" hidden="1">
      <c r="A126" s="223" t="s">
        <v>395</v>
      </c>
      <c r="B126" s="223"/>
      <c r="C126" s="223"/>
      <c r="D126" s="224" t="s">
        <v>511</v>
      </c>
      <c r="E126" s="177" t="s">
        <v>4</v>
      </c>
      <c r="F126" s="177"/>
      <c r="G126" s="177"/>
      <c r="H126" s="177"/>
      <c r="I126" s="177"/>
    </row>
    <row r="127" spans="1:9" hidden="1">
      <c r="A127" s="223" t="s">
        <v>396</v>
      </c>
      <c r="B127" s="223"/>
      <c r="C127" s="223"/>
      <c r="D127" s="224" t="s">
        <v>512</v>
      </c>
      <c r="E127" s="177" t="s">
        <v>1</v>
      </c>
      <c r="F127" s="177"/>
      <c r="G127" s="177"/>
      <c r="H127" s="177"/>
      <c r="I127" s="177"/>
    </row>
    <row r="128" spans="1:9" ht="22.5" hidden="1">
      <c r="A128" s="223" t="s">
        <v>397</v>
      </c>
      <c r="B128" s="223"/>
      <c r="C128" s="223"/>
      <c r="D128" s="224" t="s">
        <v>513</v>
      </c>
      <c r="E128" s="177" t="s">
        <v>1</v>
      </c>
      <c r="F128" s="177"/>
      <c r="G128" s="177"/>
      <c r="H128" s="177"/>
      <c r="I128" s="177"/>
    </row>
    <row r="129" spans="1:12">
      <c r="A129" s="262" t="s">
        <v>392</v>
      </c>
      <c r="B129" s="262"/>
      <c r="C129" s="262"/>
      <c r="D129" s="222" t="s">
        <v>514</v>
      </c>
      <c r="E129" s="177"/>
      <c r="F129" s="177"/>
      <c r="G129" s="177"/>
      <c r="H129" s="177"/>
      <c r="I129" s="177"/>
    </row>
    <row r="130" spans="1:12">
      <c r="A130" s="223" t="s">
        <v>398</v>
      </c>
      <c r="B130" s="223" t="s">
        <v>611</v>
      </c>
      <c r="C130" s="223" t="s">
        <v>573</v>
      </c>
      <c r="D130" s="224" t="s">
        <v>515</v>
      </c>
      <c r="E130" s="177" t="s">
        <v>4</v>
      </c>
      <c r="F130" s="177">
        <f>11.32*0.65</f>
        <v>7.3580000000000005</v>
      </c>
      <c r="G130" s="177">
        <v>829.06</v>
      </c>
      <c r="H130" s="177">
        <f t="shared" ref="H130:H132" si="4">G130*(1+$I$5)</f>
        <v>1036.3249999999998</v>
      </c>
      <c r="I130" s="177">
        <f t="shared" ref="I130:I132" si="5">H130*F130</f>
        <v>7625.2793499999989</v>
      </c>
    </row>
    <row r="131" spans="1:12">
      <c r="A131" s="262" t="s">
        <v>393</v>
      </c>
      <c r="B131" s="262"/>
      <c r="C131" s="262"/>
      <c r="D131" s="222" t="s">
        <v>516</v>
      </c>
      <c r="E131" s="177"/>
      <c r="F131" s="177"/>
      <c r="G131" s="177"/>
      <c r="H131" s="177"/>
      <c r="I131" s="177"/>
    </row>
    <row r="132" spans="1:12" ht="22.5">
      <c r="A132" s="223" t="s">
        <v>399</v>
      </c>
      <c r="B132" s="223" t="s">
        <v>612</v>
      </c>
      <c r="C132" s="223" t="s">
        <v>563</v>
      </c>
      <c r="D132" s="224" t="s">
        <v>517</v>
      </c>
      <c r="E132" s="177" t="s">
        <v>4</v>
      </c>
      <c r="F132" s="177">
        <v>10</v>
      </c>
      <c r="G132" s="177">
        <v>166.11</v>
      </c>
      <c r="H132" s="177">
        <f t="shared" si="4"/>
        <v>207.63750000000002</v>
      </c>
      <c r="I132" s="177">
        <f t="shared" si="5"/>
        <v>2076.375</v>
      </c>
    </row>
    <row r="133" spans="1:12" hidden="1">
      <c r="A133" s="262" t="s">
        <v>394</v>
      </c>
      <c r="B133" s="262"/>
      <c r="C133" s="262"/>
      <c r="D133" s="222" t="s">
        <v>518</v>
      </c>
      <c r="E133" s="177"/>
      <c r="F133" s="177"/>
      <c r="G133" s="177"/>
      <c r="H133" s="177"/>
      <c r="I133" s="177"/>
    </row>
    <row r="134" spans="1:12" hidden="1">
      <c r="A134" s="229" t="s">
        <v>400</v>
      </c>
      <c r="B134" s="229"/>
      <c r="C134" s="229"/>
      <c r="D134" s="230" t="s">
        <v>519</v>
      </c>
      <c r="E134" s="185" t="s">
        <v>4</v>
      </c>
      <c r="F134" s="185"/>
      <c r="G134" s="185"/>
      <c r="H134" s="185"/>
      <c r="I134" s="185"/>
    </row>
    <row r="135" spans="1:12" s="232" customFormat="1">
      <c r="A135" s="255"/>
      <c r="B135" s="255"/>
      <c r="C135" s="255"/>
      <c r="D135" s="341" t="s">
        <v>24</v>
      </c>
      <c r="E135" s="341"/>
      <c r="F135" s="341"/>
      <c r="G135" s="341"/>
      <c r="H135" s="341"/>
      <c r="I135" s="158">
        <f>SUM(I126:I134)</f>
        <v>9701.6543499999989</v>
      </c>
      <c r="J135" s="231"/>
      <c r="K135" s="231"/>
      <c r="L135" s="231"/>
    </row>
    <row r="136" spans="1:12">
      <c r="A136" s="187"/>
      <c r="B136" s="187"/>
      <c r="C136" s="187"/>
      <c r="D136" s="187"/>
      <c r="E136" s="187"/>
      <c r="F136" s="187"/>
      <c r="G136" s="187"/>
      <c r="H136" s="187"/>
      <c r="I136" s="163"/>
    </row>
    <row r="137" spans="1:12">
      <c r="A137" s="261">
        <v>8</v>
      </c>
      <c r="B137" s="261"/>
      <c r="C137" s="261"/>
      <c r="D137" s="227" t="s">
        <v>3</v>
      </c>
      <c r="E137" s="228"/>
      <c r="F137" s="160"/>
      <c r="G137" s="160"/>
      <c r="H137" s="160"/>
      <c r="I137" s="161"/>
    </row>
    <row r="138" spans="1:12">
      <c r="A138" s="262" t="s">
        <v>539</v>
      </c>
      <c r="B138" s="313"/>
      <c r="C138" s="313"/>
      <c r="D138" s="280" t="s">
        <v>145</v>
      </c>
      <c r="E138" s="281"/>
      <c r="F138" s="281"/>
      <c r="G138" s="281"/>
      <c r="H138" s="281"/>
      <c r="I138" s="282"/>
    </row>
    <row r="139" spans="1:12">
      <c r="A139" s="223" t="s">
        <v>146</v>
      </c>
      <c r="B139" s="223" t="s">
        <v>613</v>
      </c>
      <c r="C139" s="223" t="s">
        <v>573</v>
      </c>
      <c r="D139" s="224" t="s">
        <v>268</v>
      </c>
      <c r="E139" s="177" t="s">
        <v>2</v>
      </c>
      <c r="F139" s="177">
        <v>2</v>
      </c>
      <c r="G139" s="177">
        <v>825.68</v>
      </c>
      <c r="H139" s="177">
        <f t="shared" ref="H139:H145" si="6">G139*(1+$I$5)</f>
        <v>1032.0999999999999</v>
      </c>
      <c r="I139" s="177">
        <f>H139*F139</f>
        <v>2064.1999999999998</v>
      </c>
      <c r="K139" s="179">
        <v>0.25</v>
      </c>
      <c r="L139" s="179">
        <f>$K$139*F139</f>
        <v>0.5</v>
      </c>
    </row>
    <row r="140" spans="1:12">
      <c r="A140" s="223" t="s">
        <v>147</v>
      </c>
      <c r="B140" s="223" t="s">
        <v>614</v>
      </c>
      <c r="C140" s="223" t="s">
        <v>573</v>
      </c>
      <c r="D140" s="224" t="s">
        <v>269</v>
      </c>
      <c r="E140" s="177" t="s">
        <v>2</v>
      </c>
      <c r="F140" s="177">
        <v>2</v>
      </c>
      <c r="G140" s="177">
        <v>875.95</v>
      </c>
      <c r="H140" s="177">
        <f t="shared" si="6"/>
        <v>1094.9375</v>
      </c>
      <c r="I140" s="177">
        <f t="shared" ref="I140:I145" si="7">H140*F140</f>
        <v>2189.875</v>
      </c>
      <c r="L140" s="179">
        <f t="shared" ref="L140:L143" si="8">$K$139*F140</f>
        <v>0.5</v>
      </c>
    </row>
    <row r="141" spans="1:12">
      <c r="A141" s="223" t="s">
        <v>148</v>
      </c>
      <c r="B141" s="223" t="s">
        <v>615</v>
      </c>
      <c r="C141" s="223" t="s">
        <v>573</v>
      </c>
      <c r="D141" s="224" t="s">
        <v>270</v>
      </c>
      <c r="E141" s="177" t="s">
        <v>2</v>
      </c>
      <c r="F141" s="177">
        <v>2</v>
      </c>
      <c r="G141" s="177">
        <v>901.03</v>
      </c>
      <c r="H141" s="177">
        <f t="shared" si="6"/>
        <v>1126.2874999999999</v>
      </c>
      <c r="I141" s="177">
        <f t="shared" si="7"/>
        <v>2252.5749999999998</v>
      </c>
      <c r="L141" s="179">
        <f t="shared" si="8"/>
        <v>0.5</v>
      </c>
    </row>
    <row r="142" spans="1:12" ht="22.5">
      <c r="A142" s="223" t="s">
        <v>149</v>
      </c>
      <c r="B142" s="223" t="s">
        <v>616</v>
      </c>
      <c r="C142" s="223" t="s">
        <v>563</v>
      </c>
      <c r="D142" s="224" t="s">
        <v>156</v>
      </c>
      <c r="E142" s="177" t="s">
        <v>2</v>
      </c>
      <c r="F142" s="177">
        <v>1</v>
      </c>
      <c r="G142" s="177">
        <v>885.46</v>
      </c>
      <c r="H142" s="177">
        <f t="shared" si="6"/>
        <v>1106.825</v>
      </c>
      <c r="I142" s="177">
        <f t="shared" si="7"/>
        <v>1106.825</v>
      </c>
      <c r="L142" s="179">
        <f t="shared" si="8"/>
        <v>0.25</v>
      </c>
    </row>
    <row r="143" spans="1:12" ht="22.5">
      <c r="A143" s="223" t="s">
        <v>150</v>
      </c>
      <c r="B143" s="223" t="s">
        <v>617</v>
      </c>
      <c r="C143" s="223" t="s">
        <v>563</v>
      </c>
      <c r="D143" s="224" t="s">
        <v>157</v>
      </c>
      <c r="E143" s="177" t="s">
        <v>2</v>
      </c>
      <c r="F143" s="177">
        <v>1</v>
      </c>
      <c r="G143" s="177">
        <v>877.36</v>
      </c>
      <c r="H143" s="177">
        <f t="shared" si="6"/>
        <v>1096.7</v>
      </c>
      <c r="I143" s="177">
        <f t="shared" si="7"/>
        <v>1096.7</v>
      </c>
      <c r="L143" s="179">
        <f t="shared" si="8"/>
        <v>0.25</v>
      </c>
    </row>
    <row r="144" spans="1:12">
      <c r="A144" s="262" t="s">
        <v>537</v>
      </c>
      <c r="B144" s="314"/>
      <c r="C144" s="314"/>
      <c r="D144" s="344" t="s">
        <v>151</v>
      </c>
      <c r="E144" s="345"/>
      <c r="F144" s="346"/>
      <c r="G144" s="233"/>
      <c r="H144" s="177"/>
      <c r="I144" s="177"/>
    </row>
    <row r="145" spans="1:9" ht="22.5">
      <c r="A145" s="223" t="s">
        <v>152</v>
      </c>
      <c r="B145" s="223" t="s">
        <v>618</v>
      </c>
      <c r="C145" s="223" t="s">
        <v>563</v>
      </c>
      <c r="D145" s="224" t="s">
        <v>158</v>
      </c>
      <c r="E145" s="177" t="s">
        <v>4</v>
      </c>
      <c r="F145" s="177">
        <f>72.6*0.5</f>
        <v>36.299999999999997</v>
      </c>
      <c r="G145" s="177">
        <v>377.44</v>
      </c>
      <c r="H145" s="177">
        <f t="shared" si="6"/>
        <v>471.8</v>
      </c>
      <c r="I145" s="177">
        <f t="shared" si="7"/>
        <v>17126.34</v>
      </c>
    </row>
    <row r="146" spans="1:9" hidden="1">
      <c r="A146" s="262" t="s">
        <v>538</v>
      </c>
      <c r="B146" s="314"/>
      <c r="C146" s="314"/>
      <c r="D146" s="344" t="s">
        <v>153</v>
      </c>
      <c r="E146" s="345"/>
      <c r="F146" s="346"/>
      <c r="G146" s="233"/>
      <c r="H146" s="177"/>
      <c r="I146" s="177"/>
    </row>
    <row r="147" spans="1:9" ht="22.5" hidden="1">
      <c r="A147" s="223" t="s">
        <v>154</v>
      </c>
      <c r="B147" s="223"/>
      <c r="C147" s="223"/>
      <c r="D147" s="224" t="s">
        <v>159</v>
      </c>
      <c r="E147" s="177" t="s">
        <v>2</v>
      </c>
      <c r="F147" s="177"/>
      <c r="G147" s="177"/>
      <c r="H147" s="177"/>
      <c r="I147" s="177"/>
    </row>
    <row r="148" spans="1:9" s="234" customFormat="1" ht="22.5" hidden="1">
      <c r="A148" s="223" t="s">
        <v>155</v>
      </c>
      <c r="B148" s="223"/>
      <c r="C148" s="223"/>
      <c r="D148" s="224" t="s">
        <v>160</v>
      </c>
      <c r="E148" s="177" t="s">
        <v>2</v>
      </c>
      <c r="F148" s="177"/>
      <c r="G148" s="177"/>
      <c r="H148" s="177"/>
      <c r="I148" s="177"/>
    </row>
    <row r="149" spans="1:9">
      <c r="A149" s="235"/>
      <c r="B149" s="156"/>
      <c r="C149" s="156"/>
      <c r="D149" s="156"/>
      <c r="E149" s="156"/>
      <c r="F149" s="156"/>
      <c r="G149" s="156"/>
      <c r="H149" s="157" t="s">
        <v>24</v>
      </c>
      <c r="I149" s="158">
        <f>SUM(I138:I148)</f>
        <v>25836.514999999999</v>
      </c>
    </row>
    <row r="150" spans="1:9">
      <c r="A150" s="189"/>
      <c r="B150" s="189"/>
      <c r="C150" s="189"/>
      <c r="D150" s="189"/>
      <c r="E150" s="189"/>
      <c r="F150" s="189"/>
      <c r="G150" s="189"/>
      <c r="H150" s="187"/>
      <c r="I150" s="163"/>
    </row>
    <row r="151" spans="1:9">
      <c r="A151" s="261">
        <v>9</v>
      </c>
      <c r="B151" s="261"/>
      <c r="C151" s="261"/>
      <c r="D151" s="227" t="s">
        <v>248</v>
      </c>
      <c r="E151" s="228"/>
      <c r="F151" s="160"/>
      <c r="G151" s="160"/>
      <c r="H151" s="160"/>
      <c r="I151" s="161"/>
    </row>
    <row r="152" spans="1:9">
      <c r="A152" s="262" t="s">
        <v>401</v>
      </c>
      <c r="B152" s="262"/>
      <c r="C152" s="262"/>
      <c r="D152" s="222" t="s">
        <v>548</v>
      </c>
      <c r="E152" s="177"/>
      <c r="F152" s="177"/>
      <c r="G152" s="177"/>
      <c r="H152" s="177"/>
      <c r="I152" s="177"/>
    </row>
    <row r="153" spans="1:9">
      <c r="A153" s="223" t="s">
        <v>403</v>
      </c>
      <c r="B153" s="223" t="s">
        <v>619</v>
      </c>
      <c r="C153" s="223" t="s">
        <v>573</v>
      </c>
      <c r="D153" s="224" t="s">
        <v>549</v>
      </c>
      <c r="E153" s="177" t="s">
        <v>4</v>
      </c>
      <c r="F153" s="177">
        <f>1192.8*0.25</f>
        <v>298.2</v>
      </c>
      <c r="G153" s="177">
        <v>38.700000000000003</v>
      </c>
      <c r="H153" s="177">
        <f t="shared" ref="H153:H154" si="9">G153*(1+$I$5)</f>
        <v>48.375</v>
      </c>
      <c r="I153" s="177">
        <f>H153*F153</f>
        <v>14425.424999999999</v>
      </c>
    </row>
    <row r="154" spans="1:9">
      <c r="A154" s="223" t="s">
        <v>404</v>
      </c>
      <c r="B154" s="223" t="s">
        <v>620</v>
      </c>
      <c r="C154" s="223" t="s">
        <v>573</v>
      </c>
      <c r="D154" s="224" t="s">
        <v>550</v>
      </c>
      <c r="E154" s="177" t="s">
        <v>1</v>
      </c>
      <c r="F154" s="177">
        <f>196.36*0.1</f>
        <v>19.636000000000003</v>
      </c>
      <c r="G154" s="177">
        <v>19.329999999999998</v>
      </c>
      <c r="H154" s="177">
        <f t="shared" si="9"/>
        <v>24.162499999999998</v>
      </c>
      <c r="I154" s="177">
        <f t="shared" ref="I154:I157" si="10">H154*F154</f>
        <v>474.45485000000002</v>
      </c>
    </row>
    <row r="155" spans="1:9" hidden="1">
      <c r="A155" s="223" t="s">
        <v>405</v>
      </c>
      <c r="B155" s="223"/>
      <c r="C155" s="223"/>
      <c r="D155" s="224" t="s">
        <v>551</v>
      </c>
      <c r="E155" s="177" t="s">
        <v>4</v>
      </c>
      <c r="F155" s="177"/>
      <c r="G155" s="177">
        <f t="shared" ref="G155:G157" si="11">H155/1.25</f>
        <v>52.032000000000004</v>
      </c>
      <c r="H155" s="177">
        <v>65.040000000000006</v>
      </c>
      <c r="I155" s="177">
        <f t="shared" si="10"/>
        <v>0</v>
      </c>
    </row>
    <row r="156" spans="1:9" hidden="1">
      <c r="A156" s="262" t="s">
        <v>402</v>
      </c>
      <c r="B156" s="262"/>
      <c r="C156" s="262"/>
      <c r="D156" s="222" t="s">
        <v>552</v>
      </c>
      <c r="E156" s="177"/>
      <c r="F156" s="177"/>
      <c r="G156" s="177"/>
      <c r="H156" s="177"/>
      <c r="I156" s="177"/>
    </row>
    <row r="157" spans="1:9" hidden="1">
      <c r="A157" s="229" t="s">
        <v>406</v>
      </c>
      <c r="B157" s="229"/>
      <c r="C157" s="229"/>
      <c r="D157" s="224" t="s">
        <v>553</v>
      </c>
      <c r="E157" s="177" t="s">
        <v>1</v>
      </c>
      <c r="F157" s="177"/>
      <c r="G157" s="177">
        <f t="shared" si="11"/>
        <v>32.416000000000004</v>
      </c>
      <c r="H157" s="177">
        <v>40.520000000000003</v>
      </c>
      <c r="I157" s="177">
        <f t="shared" si="10"/>
        <v>0</v>
      </c>
    </row>
    <row r="158" spans="1:9">
      <c r="A158" s="259"/>
      <c r="B158" s="315"/>
      <c r="C158" s="315"/>
      <c r="D158" s="254"/>
      <c r="E158" s="254"/>
      <c r="F158" s="254"/>
      <c r="G158" s="254"/>
      <c r="H158" s="260" t="s">
        <v>24</v>
      </c>
      <c r="I158" s="158">
        <f>SUM(I153:I157)</f>
        <v>14899.879849999999</v>
      </c>
    </row>
    <row r="159" spans="1:9">
      <c r="A159" s="189"/>
      <c r="B159" s="189"/>
      <c r="C159" s="189"/>
      <c r="D159" s="189"/>
      <c r="E159" s="189"/>
      <c r="F159" s="189"/>
      <c r="G159" s="189"/>
      <c r="H159" s="187"/>
      <c r="I159" s="163"/>
    </row>
    <row r="160" spans="1:9" s="234" customFormat="1">
      <c r="A160" s="261">
        <v>10</v>
      </c>
      <c r="B160" s="261"/>
      <c r="C160" s="261"/>
      <c r="D160" s="227" t="s">
        <v>161</v>
      </c>
      <c r="E160" s="228"/>
      <c r="F160" s="160"/>
      <c r="G160" s="160"/>
      <c r="H160" s="160"/>
      <c r="I160" s="161"/>
    </row>
    <row r="161" spans="1:9" s="234" customFormat="1" hidden="1">
      <c r="A161" s="262" t="s">
        <v>536</v>
      </c>
      <c r="B161" s="314"/>
      <c r="C161" s="314"/>
      <c r="D161" s="344" t="s">
        <v>162</v>
      </c>
      <c r="E161" s="345"/>
      <c r="F161" s="345"/>
      <c r="G161" s="345"/>
      <c r="H161" s="345"/>
      <c r="I161" s="346"/>
    </row>
    <row r="162" spans="1:9" s="234" customFormat="1" hidden="1">
      <c r="A162" s="223" t="s">
        <v>25</v>
      </c>
      <c r="B162" s="223"/>
      <c r="C162" s="223"/>
      <c r="D162" s="224" t="s">
        <v>18</v>
      </c>
      <c r="E162" s="177" t="s">
        <v>4</v>
      </c>
      <c r="F162" s="177">
        <v>1743.96</v>
      </c>
      <c r="G162" s="177" t="s">
        <v>163</v>
      </c>
      <c r="H162" s="177" t="s">
        <v>163</v>
      </c>
      <c r="I162" s="177" t="s">
        <v>163</v>
      </c>
    </row>
    <row r="163" spans="1:9" s="234" customFormat="1" hidden="1">
      <c r="A163" s="223" t="s">
        <v>26</v>
      </c>
      <c r="B163" s="223"/>
      <c r="C163" s="223"/>
      <c r="D163" s="224" t="s">
        <v>164</v>
      </c>
      <c r="E163" s="177" t="s">
        <v>4</v>
      </c>
      <c r="F163" s="177">
        <v>628</v>
      </c>
      <c r="G163" s="177" t="s">
        <v>163</v>
      </c>
      <c r="H163" s="177" t="s">
        <v>163</v>
      </c>
      <c r="I163" s="177" t="s">
        <v>163</v>
      </c>
    </row>
    <row r="164" spans="1:9" s="234" customFormat="1" ht="22.5" hidden="1">
      <c r="A164" s="223" t="s">
        <v>27</v>
      </c>
      <c r="B164" s="223"/>
      <c r="C164" s="223"/>
      <c r="D164" s="224" t="s">
        <v>165</v>
      </c>
      <c r="E164" s="177" t="s">
        <v>4</v>
      </c>
      <c r="F164" s="177">
        <v>978.56</v>
      </c>
      <c r="G164" s="177" t="s">
        <v>163</v>
      </c>
      <c r="H164" s="177" t="s">
        <v>163</v>
      </c>
      <c r="I164" s="177" t="s">
        <v>163</v>
      </c>
    </row>
    <row r="165" spans="1:9" ht="22.5" hidden="1">
      <c r="A165" s="223" t="s">
        <v>28</v>
      </c>
      <c r="B165" s="223"/>
      <c r="C165" s="223"/>
      <c r="D165" s="224" t="s">
        <v>166</v>
      </c>
      <c r="E165" s="177" t="s">
        <v>4</v>
      </c>
      <c r="F165" s="177">
        <v>765.4</v>
      </c>
      <c r="G165" s="177" t="s">
        <v>163</v>
      </c>
      <c r="H165" s="177" t="s">
        <v>163</v>
      </c>
      <c r="I165" s="177" t="s">
        <v>163</v>
      </c>
    </row>
    <row r="166" spans="1:9" ht="22.5" hidden="1">
      <c r="A166" s="223" t="s">
        <v>29</v>
      </c>
      <c r="B166" s="223"/>
      <c r="C166" s="223"/>
      <c r="D166" s="224" t="s">
        <v>167</v>
      </c>
      <c r="E166" s="177" t="s">
        <v>4</v>
      </c>
      <c r="F166" s="177">
        <v>628</v>
      </c>
      <c r="G166" s="177" t="s">
        <v>163</v>
      </c>
      <c r="H166" s="177" t="s">
        <v>163</v>
      </c>
      <c r="I166" s="177" t="s">
        <v>163</v>
      </c>
    </row>
    <row r="167" spans="1:9">
      <c r="A167" s="262" t="s">
        <v>535</v>
      </c>
      <c r="B167" s="314"/>
      <c r="C167" s="314"/>
      <c r="D167" s="344" t="s">
        <v>168</v>
      </c>
      <c r="E167" s="345"/>
      <c r="F167" s="346"/>
      <c r="G167" s="233"/>
      <c r="H167" s="177"/>
      <c r="I167" s="177"/>
    </row>
    <row r="168" spans="1:9" ht="22.5">
      <c r="A168" s="236" t="s">
        <v>169</v>
      </c>
      <c r="B168" s="236" t="s">
        <v>621</v>
      </c>
      <c r="C168" s="236" t="s">
        <v>563</v>
      </c>
      <c r="D168" s="224" t="s">
        <v>170</v>
      </c>
      <c r="E168" s="237" t="s">
        <v>171</v>
      </c>
      <c r="F168" s="237">
        <f>765.4*0.26951154</f>
        <v>206.28413271599999</v>
      </c>
      <c r="G168" s="177">
        <v>53.21</v>
      </c>
      <c r="H168" s="177">
        <f t="shared" ref="H168" si="12">G168*(1+$I$5)</f>
        <v>66.512500000000003</v>
      </c>
      <c r="I168" s="177">
        <f>H168*F168</f>
        <v>13720.473377272951</v>
      </c>
    </row>
    <row r="169" spans="1:9">
      <c r="A169" s="235"/>
      <c r="B169" s="156"/>
      <c r="C169" s="156"/>
      <c r="D169" s="156"/>
      <c r="E169" s="156"/>
      <c r="F169" s="156"/>
      <c r="G169" s="156"/>
      <c r="H169" s="157" t="s">
        <v>24</v>
      </c>
      <c r="I169" s="158">
        <f>SUM(I161:I168)</f>
        <v>13720.473377272951</v>
      </c>
    </row>
    <row r="170" spans="1:9">
      <c r="A170" s="187"/>
      <c r="B170" s="187"/>
      <c r="C170" s="187"/>
      <c r="D170" s="187"/>
      <c r="E170" s="187"/>
      <c r="F170" s="162"/>
      <c r="G170" s="162"/>
      <c r="H170" s="162"/>
      <c r="I170" s="163"/>
    </row>
    <row r="171" spans="1:9" s="234" customFormat="1">
      <c r="A171" s="261">
        <v>11</v>
      </c>
      <c r="B171" s="261"/>
      <c r="C171" s="261"/>
      <c r="D171" s="227" t="s">
        <v>264</v>
      </c>
      <c r="E171" s="228"/>
      <c r="F171" s="160"/>
      <c r="G171" s="160"/>
      <c r="H171" s="160"/>
      <c r="I171" s="161"/>
    </row>
    <row r="172" spans="1:9" s="234" customFormat="1">
      <c r="A172" s="262" t="s">
        <v>533</v>
      </c>
      <c r="B172" s="314"/>
      <c r="C172" s="314"/>
      <c r="D172" s="344" t="s">
        <v>256</v>
      </c>
      <c r="E172" s="345"/>
      <c r="F172" s="345"/>
      <c r="G172" s="345"/>
      <c r="H172" s="345"/>
      <c r="I172" s="346"/>
    </row>
    <row r="173" spans="1:9" s="234" customFormat="1" ht="22.5">
      <c r="A173" s="223" t="s">
        <v>257</v>
      </c>
      <c r="B173" s="223" t="s">
        <v>622</v>
      </c>
      <c r="C173" s="223" t="s">
        <v>563</v>
      </c>
      <c r="D173" s="224" t="s">
        <v>258</v>
      </c>
      <c r="E173" s="177" t="s">
        <v>17</v>
      </c>
      <c r="F173" s="177">
        <f>62.97*0.1</f>
        <v>6.2970000000000006</v>
      </c>
      <c r="G173" s="177">
        <v>513.62</v>
      </c>
      <c r="H173" s="177">
        <f t="shared" ref="H173:H177" si="13">G173*(1+$I$5)</f>
        <v>642.02499999999998</v>
      </c>
      <c r="I173" s="177">
        <f>H173*F173</f>
        <v>4042.8314250000003</v>
      </c>
    </row>
    <row r="174" spans="1:9" s="234" customFormat="1">
      <c r="A174" s="262" t="s">
        <v>534</v>
      </c>
      <c r="B174" s="314"/>
      <c r="C174" s="314"/>
      <c r="D174" s="344" t="s">
        <v>168</v>
      </c>
      <c r="E174" s="345"/>
      <c r="F174" s="346"/>
      <c r="G174" s="233"/>
      <c r="H174" s="177"/>
      <c r="I174" s="177"/>
    </row>
    <row r="175" spans="1:9" s="234" customFormat="1" ht="33.75">
      <c r="A175" s="236" t="s">
        <v>259</v>
      </c>
      <c r="B175" s="236" t="s">
        <v>623</v>
      </c>
      <c r="C175" s="236" t="s">
        <v>573</v>
      </c>
      <c r="D175" s="224" t="s">
        <v>260</v>
      </c>
      <c r="E175" s="237" t="s">
        <v>171</v>
      </c>
      <c r="F175" s="237">
        <f>787.23*0.25</f>
        <v>196.8075</v>
      </c>
      <c r="G175" s="177">
        <v>49.46</v>
      </c>
      <c r="H175" s="177">
        <f t="shared" si="13"/>
        <v>61.825000000000003</v>
      </c>
      <c r="I175" s="177">
        <f>H175*F175</f>
        <v>12167.623687500001</v>
      </c>
    </row>
    <row r="176" spans="1:9">
      <c r="A176" s="262" t="s">
        <v>532</v>
      </c>
      <c r="B176" s="314"/>
      <c r="C176" s="314"/>
      <c r="D176" s="344" t="s">
        <v>261</v>
      </c>
      <c r="E176" s="345"/>
      <c r="F176" s="346"/>
      <c r="G176" s="233"/>
      <c r="H176" s="177"/>
      <c r="I176" s="177"/>
    </row>
    <row r="177" spans="1:9">
      <c r="A177" s="223" t="s">
        <v>262</v>
      </c>
      <c r="B177" s="223" t="s">
        <v>624</v>
      </c>
      <c r="C177" s="223" t="s">
        <v>573</v>
      </c>
      <c r="D177" s="224" t="s">
        <v>263</v>
      </c>
      <c r="E177" s="177" t="s">
        <v>4</v>
      </c>
      <c r="F177" s="177">
        <f>168.13*0.3</f>
        <v>50.439</v>
      </c>
      <c r="G177" s="177">
        <v>80.48</v>
      </c>
      <c r="H177" s="177">
        <f t="shared" si="13"/>
        <v>100.60000000000001</v>
      </c>
      <c r="I177" s="177">
        <f>H177*F177</f>
        <v>5074.1634000000004</v>
      </c>
    </row>
    <row r="178" spans="1:9">
      <c r="A178" s="235"/>
      <c r="B178" s="156"/>
      <c r="C178" s="156"/>
      <c r="D178" s="156"/>
      <c r="E178" s="156"/>
      <c r="F178" s="156"/>
      <c r="G178" s="156"/>
      <c r="H178" s="157" t="s">
        <v>24</v>
      </c>
      <c r="I178" s="158">
        <f>SUM(I172:I177)</f>
        <v>21284.618512500001</v>
      </c>
    </row>
    <row r="179" spans="1:9">
      <c r="A179" s="187"/>
      <c r="B179" s="187"/>
      <c r="C179" s="187"/>
      <c r="D179" s="187"/>
      <c r="E179" s="187"/>
      <c r="F179" s="162"/>
      <c r="G179" s="162"/>
      <c r="H179" s="162"/>
      <c r="I179" s="163"/>
    </row>
    <row r="180" spans="1:9">
      <c r="A180" s="261">
        <v>12</v>
      </c>
      <c r="B180" s="261"/>
      <c r="C180" s="261"/>
      <c r="D180" s="227" t="s">
        <v>172</v>
      </c>
      <c r="E180" s="228"/>
      <c r="F180" s="160"/>
      <c r="G180" s="160"/>
      <c r="H180" s="160"/>
      <c r="I180" s="161"/>
    </row>
    <row r="181" spans="1:9">
      <c r="A181" s="262" t="s">
        <v>530</v>
      </c>
      <c r="B181" s="314"/>
      <c r="C181" s="314"/>
      <c r="D181" s="344" t="s">
        <v>173</v>
      </c>
      <c r="E181" s="345"/>
      <c r="F181" s="345"/>
      <c r="G181" s="345"/>
      <c r="H181" s="345"/>
      <c r="I181" s="346"/>
    </row>
    <row r="182" spans="1:9" ht="22.5">
      <c r="A182" s="223" t="s">
        <v>174</v>
      </c>
      <c r="B182" s="223" t="s">
        <v>625</v>
      </c>
      <c r="C182" s="223" t="s">
        <v>573</v>
      </c>
      <c r="D182" s="224" t="s">
        <v>175</v>
      </c>
      <c r="E182" s="177" t="s">
        <v>1</v>
      </c>
      <c r="F182" s="177">
        <f>26.5*0.3</f>
        <v>7.9499999999999993</v>
      </c>
      <c r="G182" s="177">
        <v>106.23</v>
      </c>
      <c r="H182" s="177">
        <f t="shared" ref="H182:H184" si="14">G182*(1+$I$5)</f>
        <v>132.78749999999999</v>
      </c>
      <c r="I182" s="177">
        <f>H182*F182</f>
        <v>1055.6606249999998</v>
      </c>
    </row>
    <row r="183" spans="1:9">
      <c r="A183" s="262" t="s">
        <v>531</v>
      </c>
      <c r="B183" s="314"/>
      <c r="C183" s="314"/>
      <c r="D183" s="264" t="s">
        <v>176</v>
      </c>
      <c r="E183" s="265"/>
      <c r="F183" s="266"/>
      <c r="G183" s="233"/>
      <c r="H183" s="177"/>
      <c r="I183" s="177"/>
    </row>
    <row r="184" spans="1:9" s="234" customFormat="1" ht="22.5">
      <c r="A184" s="223" t="s">
        <v>177</v>
      </c>
      <c r="B184" s="223" t="s">
        <v>626</v>
      </c>
      <c r="C184" s="223" t="s">
        <v>563</v>
      </c>
      <c r="D184" s="224" t="s">
        <v>178</v>
      </c>
      <c r="E184" s="177" t="s">
        <v>1</v>
      </c>
      <c r="F184" s="177">
        <f>56*0.3</f>
        <v>16.8</v>
      </c>
      <c r="G184" s="177">
        <v>17.940000000000001</v>
      </c>
      <c r="H184" s="177">
        <f t="shared" si="14"/>
        <v>22.425000000000001</v>
      </c>
      <c r="I184" s="177">
        <f>H184*F184</f>
        <v>376.74</v>
      </c>
    </row>
    <row r="185" spans="1:9">
      <c r="A185" s="235"/>
      <c r="B185" s="156"/>
      <c r="C185" s="156"/>
      <c r="D185" s="156"/>
      <c r="E185" s="156"/>
      <c r="F185" s="156"/>
      <c r="G185" s="156"/>
      <c r="H185" s="157" t="s">
        <v>24</v>
      </c>
      <c r="I185" s="158">
        <f>SUM(I181:I184)</f>
        <v>1432.4006249999998</v>
      </c>
    </row>
    <row r="186" spans="1:9">
      <c r="A186" s="189"/>
      <c r="B186" s="189"/>
      <c r="C186" s="189"/>
      <c r="D186" s="189"/>
      <c r="E186" s="189"/>
      <c r="F186" s="189"/>
      <c r="G186" s="189"/>
      <c r="H186" s="187"/>
      <c r="I186" s="163"/>
    </row>
    <row r="187" spans="1:9">
      <c r="A187" s="261">
        <v>13</v>
      </c>
      <c r="B187" s="261"/>
      <c r="C187" s="261"/>
      <c r="D187" s="227" t="s">
        <v>554</v>
      </c>
      <c r="E187" s="228"/>
      <c r="F187" s="160"/>
      <c r="G187" s="160"/>
      <c r="H187" s="160"/>
      <c r="I187" s="161"/>
    </row>
    <row r="188" spans="1:9">
      <c r="A188" s="262" t="s">
        <v>407</v>
      </c>
      <c r="B188" s="262"/>
      <c r="C188" s="262"/>
      <c r="D188" s="222" t="s">
        <v>541</v>
      </c>
      <c r="E188" s="177"/>
      <c r="F188" s="177"/>
      <c r="G188" s="177"/>
      <c r="H188" s="237"/>
      <c r="I188" s="177"/>
    </row>
    <row r="189" spans="1:9" ht="22.5">
      <c r="A189" s="223" t="s">
        <v>409</v>
      </c>
      <c r="B189" s="223" t="s">
        <v>627</v>
      </c>
      <c r="C189" s="223" t="s">
        <v>563</v>
      </c>
      <c r="D189" s="224" t="s">
        <v>542</v>
      </c>
      <c r="E189" s="177" t="s">
        <v>4</v>
      </c>
      <c r="F189" s="177">
        <f>978.56*0.3</f>
        <v>293.56799999999998</v>
      </c>
      <c r="G189" s="177">
        <v>30</v>
      </c>
      <c r="H189" s="177">
        <f>G189*(1+$I$5)</f>
        <v>37.5</v>
      </c>
      <c r="I189" s="177">
        <f>H189*F189</f>
        <v>11008.8</v>
      </c>
    </row>
    <row r="190" spans="1:9" ht="22.5">
      <c r="A190" s="223" t="s">
        <v>410</v>
      </c>
      <c r="B190" s="223" t="s">
        <v>627</v>
      </c>
      <c r="C190" s="223" t="s">
        <v>563</v>
      </c>
      <c r="D190" s="224" t="s">
        <v>543</v>
      </c>
      <c r="E190" s="177" t="s">
        <v>4</v>
      </c>
      <c r="F190" s="177">
        <f>628*0.3</f>
        <v>188.4</v>
      </c>
      <c r="G190" s="177">
        <v>30</v>
      </c>
      <c r="H190" s="177">
        <f>G190*(1+$I$5)</f>
        <v>37.5</v>
      </c>
      <c r="I190" s="177">
        <f t="shared" ref="I190:I194" si="15">H190*F190</f>
        <v>7065</v>
      </c>
    </row>
    <row r="191" spans="1:9">
      <c r="A191" s="262" t="s">
        <v>408</v>
      </c>
      <c r="B191" s="262"/>
      <c r="C191" s="262"/>
      <c r="D191" s="222" t="s">
        <v>544</v>
      </c>
      <c r="E191" s="177"/>
      <c r="F191" s="177"/>
      <c r="G191" s="177"/>
      <c r="H191" s="177"/>
      <c r="I191" s="177"/>
    </row>
    <row r="192" spans="1:9" ht="22.5">
      <c r="A192" s="223" t="s">
        <v>411</v>
      </c>
      <c r="B192" s="223" t="s">
        <v>628</v>
      </c>
      <c r="C192" s="223" t="s">
        <v>563</v>
      </c>
      <c r="D192" s="224" t="s">
        <v>545</v>
      </c>
      <c r="E192" s="177" t="s">
        <v>4</v>
      </c>
      <c r="F192" s="177">
        <f>87.56*0.3</f>
        <v>26.268000000000001</v>
      </c>
      <c r="G192" s="177">
        <v>17.71</v>
      </c>
      <c r="H192" s="177">
        <f>G192*(1+$I$5)</f>
        <v>22.137500000000003</v>
      </c>
      <c r="I192" s="177">
        <f t="shared" si="15"/>
        <v>581.50785000000008</v>
      </c>
    </row>
    <row r="193" spans="1:9" ht="22.5">
      <c r="A193" s="223" t="s">
        <v>412</v>
      </c>
      <c r="B193" s="223" t="s">
        <v>629</v>
      </c>
      <c r="C193" s="223" t="s">
        <v>563</v>
      </c>
      <c r="D193" s="224" t="s">
        <v>546</v>
      </c>
      <c r="E193" s="177" t="s">
        <v>4</v>
      </c>
      <c r="F193" s="177">
        <f>276*0.3</f>
        <v>82.8</v>
      </c>
      <c r="G193" s="177">
        <v>9.01</v>
      </c>
      <c r="H193" s="177">
        <f>G193*(1+$I$5)</f>
        <v>11.262499999999999</v>
      </c>
      <c r="I193" s="177">
        <f t="shared" si="15"/>
        <v>932.53499999999985</v>
      </c>
    </row>
    <row r="194" spans="1:9" ht="22.5">
      <c r="A194" s="229" t="s">
        <v>413</v>
      </c>
      <c r="B194" s="229" t="s">
        <v>630</v>
      </c>
      <c r="C194" s="229" t="s">
        <v>563</v>
      </c>
      <c r="D194" s="224" t="s">
        <v>547</v>
      </c>
      <c r="E194" s="177" t="s">
        <v>4</v>
      </c>
      <c r="F194" s="177">
        <f>145.2*0.3</f>
        <v>43.559999999999995</v>
      </c>
      <c r="G194" s="177">
        <v>25.14</v>
      </c>
      <c r="H194" s="177">
        <f>G194*(1+$I$5)</f>
        <v>31.425000000000001</v>
      </c>
      <c r="I194" s="177">
        <f t="shared" si="15"/>
        <v>1368.8729999999998</v>
      </c>
    </row>
    <row r="195" spans="1:9">
      <c r="A195" s="259"/>
      <c r="B195" s="315"/>
      <c r="C195" s="315"/>
      <c r="D195" s="254"/>
      <c r="E195" s="254"/>
      <c r="F195" s="254"/>
      <c r="G195" s="254"/>
      <c r="H195" s="260" t="s">
        <v>24</v>
      </c>
      <c r="I195" s="158">
        <f>SUM(I189:I194)</f>
        <v>20956.715850000001</v>
      </c>
    </row>
    <row r="196" spans="1:9">
      <c r="A196" s="189"/>
      <c r="B196" s="189"/>
      <c r="C196" s="189"/>
      <c r="D196" s="189"/>
      <c r="E196" s="189"/>
      <c r="F196" s="189"/>
      <c r="G196" s="189"/>
      <c r="H196" s="187"/>
      <c r="I196" s="163"/>
    </row>
    <row r="197" spans="1:9">
      <c r="A197" s="261">
        <v>14</v>
      </c>
      <c r="B197" s="261"/>
      <c r="C197" s="261"/>
      <c r="D197" s="227" t="s">
        <v>214</v>
      </c>
      <c r="E197" s="228"/>
      <c r="F197" s="160"/>
      <c r="G197" s="160"/>
      <c r="H197" s="160"/>
      <c r="I197" s="161"/>
    </row>
    <row r="198" spans="1:9">
      <c r="A198" s="262" t="s">
        <v>529</v>
      </c>
      <c r="B198" s="314"/>
      <c r="C198" s="314"/>
      <c r="D198" s="344" t="s">
        <v>179</v>
      </c>
      <c r="E198" s="345"/>
      <c r="F198" s="345"/>
      <c r="G198" s="345"/>
      <c r="H198" s="345"/>
      <c r="I198" s="346"/>
    </row>
    <row r="199" spans="1:9" ht="22.5">
      <c r="A199" s="236" t="s">
        <v>180</v>
      </c>
      <c r="B199" s="236" t="s">
        <v>631</v>
      </c>
      <c r="C199" s="236" t="s">
        <v>563</v>
      </c>
      <c r="D199" s="224" t="s">
        <v>271</v>
      </c>
      <c r="E199" s="237" t="s">
        <v>181</v>
      </c>
      <c r="F199" s="237">
        <v>10.8</v>
      </c>
      <c r="G199" s="177">
        <v>174.45</v>
      </c>
      <c r="H199" s="177">
        <f>G199*(1+$I$5)</f>
        <v>218.0625</v>
      </c>
      <c r="I199" s="177">
        <f>H199*F199</f>
        <v>2355.0750000000003</v>
      </c>
    </row>
    <row r="200" spans="1:9" s="234" customFormat="1">
      <c r="A200" s="286" t="s">
        <v>528</v>
      </c>
      <c r="B200" s="316"/>
      <c r="C200" s="316"/>
      <c r="D200" s="347" t="s">
        <v>182</v>
      </c>
      <c r="E200" s="348"/>
      <c r="F200" s="349"/>
      <c r="G200" s="287"/>
      <c r="H200" s="285"/>
      <c r="I200" s="285"/>
    </row>
    <row r="201" spans="1:9" s="234" customFormat="1" ht="33.75">
      <c r="A201" s="288" t="s">
        <v>183</v>
      </c>
      <c r="B201" s="288" t="s">
        <v>632</v>
      </c>
      <c r="C201" s="288" t="s">
        <v>561</v>
      </c>
      <c r="D201" s="284" t="s">
        <v>272</v>
      </c>
      <c r="E201" s="289" t="s">
        <v>2</v>
      </c>
      <c r="F201" s="289">
        <f>2.85*0.6</f>
        <v>1.71</v>
      </c>
      <c r="G201" s="285">
        <v>487.1</v>
      </c>
      <c r="H201" s="285">
        <f>G201*(1+$I$5)</f>
        <v>608.875</v>
      </c>
      <c r="I201" s="285">
        <f t="shared" ref="I201:I222" si="16">H201*F201</f>
        <v>1041.17625</v>
      </c>
    </row>
    <row r="202" spans="1:9" s="234" customFormat="1" ht="22.5">
      <c r="A202" s="283" t="s">
        <v>185</v>
      </c>
      <c r="B202" s="283" t="s">
        <v>632</v>
      </c>
      <c r="C202" s="283" t="s">
        <v>561</v>
      </c>
      <c r="D202" s="284" t="s">
        <v>273</v>
      </c>
      <c r="E202" s="285" t="s">
        <v>2</v>
      </c>
      <c r="F202" s="285">
        <f>3.65*0.6</f>
        <v>2.19</v>
      </c>
      <c r="G202" s="285">
        <v>487.1</v>
      </c>
      <c r="H202" s="285">
        <f>G202*(1+$I$5)</f>
        <v>608.875</v>
      </c>
      <c r="I202" s="285">
        <f t="shared" si="16"/>
        <v>1333.43625</v>
      </c>
    </row>
    <row r="203" spans="1:9" s="234" customFormat="1" ht="22.5">
      <c r="A203" s="288" t="s">
        <v>186</v>
      </c>
      <c r="B203" s="288" t="s">
        <v>633</v>
      </c>
      <c r="C203" s="288" t="s">
        <v>561</v>
      </c>
      <c r="D203" s="284" t="s">
        <v>274</v>
      </c>
      <c r="E203" s="289" t="s">
        <v>2</v>
      </c>
      <c r="F203" s="289">
        <f>3.65*0.6</f>
        <v>2.19</v>
      </c>
      <c r="G203" s="285">
        <v>870.14</v>
      </c>
      <c r="H203" s="285">
        <f>G203*(1+$I$5)</f>
        <v>1087.675</v>
      </c>
      <c r="I203" s="285">
        <f t="shared" si="16"/>
        <v>2382.0082499999999</v>
      </c>
    </row>
    <row r="204" spans="1:9" s="234" customFormat="1" ht="22.5">
      <c r="A204" s="283" t="s">
        <v>187</v>
      </c>
      <c r="B204" s="283" t="s">
        <v>634</v>
      </c>
      <c r="C204" s="283" t="s">
        <v>563</v>
      </c>
      <c r="D204" s="284" t="s">
        <v>275</v>
      </c>
      <c r="E204" s="285" t="s">
        <v>2</v>
      </c>
      <c r="F204" s="285">
        <v>1</v>
      </c>
      <c r="G204" s="285">
        <v>241.53</v>
      </c>
      <c r="H204" s="285">
        <f>G204*(1+$I$5)</f>
        <v>301.91250000000002</v>
      </c>
      <c r="I204" s="285">
        <f t="shared" si="16"/>
        <v>301.91250000000002</v>
      </c>
    </row>
    <row r="205" spans="1:9" s="234" customFormat="1" ht="22.5">
      <c r="A205" s="288" t="s">
        <v>188</v>
      </c>
      <c r="B205" s="288" t="s">
        <v>634</v>
      </c>
      <c r="C205" s="288" t="s">
        <v>563</v>
      </c>
      <c r="D205" s="284" t="s">
        <v>276</v>
      </c>
      <c r="E205" s="289" t="s">
        <v>184</v>
      </c>
      <c r="F205" s="289">
        <f>0.8*6</f>
        <v>4.8000000000000007</v>
      </c>
      <c r="G205" s="285">
        <v>241.53</v>
      </c>
      <c r="H205" s="285">
        <f>G205*(1+$I$5)</f>
        <v>301.91250000000002</v>
      </c>
      <c r="I205" s="285">
        <f t="shared" si="16"/>
        <v>1449.1800000000003</v>
      </c>
    </row>
    <row r="206" spans="1:9">
      <c r="A206" s="262" t="s">
        <v>527</v>
      </c>
      <c r="B206" s="314"/>
      <c r="C206" s="314"/>
      <c r="D206" s="344" t="s">
        <v>145</v>
      </c>
      <c r="E206" s="345"/>
      <c r="F206" s="346"/>
      <c r="G206" s="233"/>
      <c r="H206" s="177"/>
      <c r="I206" s="177"/>
    </row>
    <row r="207" spans="1:9" ht="22.5">
      <c r="A207" s="223" t="s">
        <v>189</v>
      </c>
      <c r="B207" s="223" t="s">
        <v>635</v>
      </c>
      <c r="C207" s="223" t="s">
        <v>563</v>
      </c>
      <c r="D207" s="224" t="s">
        <v>277</v>
      </c>
      <c r="E207" s="177" t="s">
        <v>4</v>
      </c>
      <c r="F207" s="177">
        <v>31.92</v>
      </c>
      <c r="G207" s="177">
        <v>189.96</v>
      </c>
      <c r="H207" s="177">
        <f>G207*(1+$I$5)</f>
        <v>237.45000000000002</v>
      </c>
      <c r="I207" s="177">
        <f t="shared" si="16"/>
        <v>7579.4040000000014</v>
      </c>
    </row>
    <row r="208" spans="1:9">
      <c r="A208" s="223" t="s">
        <v>190</v>
      </c>
      <c r="B208" s="223" t="s">
        <v>636</v>
      </c>
      <c r="C208" s="223" t="s">
        <v>563</v>
      </c>
      <c r="D208" s="224" t="s">
        <v>191</v>
      </c>
      <c r="E208" s="177" t="s">
        <v>4</v>
      </c>
      <c r="F208" s="177">
        <v>1.5</v>
      </c>
      <c r="G208" s="177">
        <v>395.27</v>
      </c>
      <c r="H208" s="177">
        <f>G208*(1+$I$5)</f>
        <v>494.08749999999998</v>
      </c>
      <c r="I208" s="177">
        <f t="shared" si="16"/>
        <v>741.13124999999991</v>
      </c>
    </row>
    <row r="209" spans="1:9" s="234" customFormat="1" ht="22.5">
      <c r="A209" s="223" t="s">
        <v>192</v>
      </c>
      <c r="B209" s="223" t="s">
        <v>637</v>
      </c>
      <c r="C209" s="223" t="s">
        <v>563</v>
      </c>
      <c r="D209" s="224" t="s">
        <v>278</v>
      </c>
      <c r="E209" s="177" t="s">
        <v>4</v>
      </c>
      <c r="F209" s="177">
        <v>9.5399999999999991</v>
      </c>
      <c r="G209" s="177">
        <v>428.48</v>
      </c>
      <c r="H209" s="177">
        <f>G209*(1+$I$5)</f>
        <v>535.6</v>
      </c>
      <c r="I209" s="177">
        <f t="shared" si="16"/>
        <v>5109.6239999999998</v>
      </c>
    </row>
    <row r="210" spans="1:9" s="234" customFormat="1">
      <c r="A210" s="262" t="s">
        <v>526</v>
      </c>
      <c r="B210" s="314"/>
      <c r="C210" s="314"/>
      <c r="D210" s="344" t="s">
        <v>193</v>
      </c>
      <c r="E210" s="345"/>
      <c r="F210" s="346"/>
      <c r="G210" s="233"/>
      <c r="H210" s="177"/>
      <c r="I210" s="177"/>
    </row>
    <row r="211" spans="1:9" s="234" customFormat="1" ht="22.5">
      <c r="A211" s="223" t="s">
        <v>194</v>
      </c>
      <c r="B211" s="223" t="s">
        <v>638</v>
      </c>
      <c r="C211" s="223" t="s">
        <v>563</v>
      </c>
      <c r="D211" s="224" t="s">
        <v>279</v>
      </c>
      <c r="E211" s="177" t="s">
        <v>2</v>
      </c>
      <c r="F211" s="177">
        <v>8</v>
      </c>
      <c r="G211" s="177">
        <v>268.54000000000002</v>
      </c>
      <c r="H211" s="177">
        <f>G211*(1+$I$5)</f>
        <v>335.67500000000001</v>
      </c>
      <c r="I211" s="177">
        <f t="shared" si="16"/>
        <v>2685.4</v>
      </c>
    </row>
    <row r="212" spans="1:9" s="234" customFormat="1">
      <c r="A212" s="262" t="s">
        <v>525</v>
      </c>
      <c r="B212" s="314"/>
      <c r="C212" s="314"/>
      <c r="D212" s="344" t="s">
        <v>195</v>
      </c>
      <c r="E212" s="345"/>
      <c r="F212" s="346"/>
      <c r="G212" s="233"/>
      <c r="H212" s="177"/>
      <c r="I212" s="177"/>
    </row>
    <row r="213" spans="1:9" s="234" customFormat="1">
      <c r="A213" s="223" t="s">
        <v>196</v>
      </c>
      <c r="B213" s="223" t="s">
        <v>639</v>
      </c>
      <c r="C213" s="223" t="s">
        <v>573</v>
      </c>
      <c r="D213" s="224" t="s">
        <v>197</v>
      </c>
      <c r="E213" s="177" t="s">
        <v>1</v>
      </c>
      <c r="F213" s="177">
        <v>7</v>
      </c>
      <c r="G213" s="177">
        <v>57.03</v>
      </c>
      <c r="H213" s="177">
        <f t="shared" ref="H213:H218" si="17">G213*(1+$I$5)</f>
        <v>71.287499999999994</v>
      </c>
      <c r="I213" s="177">
        <f t="shared" si="16"/>
        <v>499.01249999999993</v>
      </c>
    </row>
    <row r="214" spans="1:9" s="234" customFormat="1">
      <c r="A214" s="223" t="s">
        <v>198</v>
      </c>
      <c r="B214" s="223" t="s">
        <v>640</v>
      </c>
      <c r="C214" s="223" t="s">
        <v>573</v>
      </c>
      <c r="D214" s="224" t="s">
        <v>199</v>
      </c>
      <c r="E214" s="177" t="s">
        <v>2</v>
      </c>
      <c r="F214" s="177">
        <v>5</v>
      </c>
      <c r="G214" s="177">
        <v>36.06</v>
      </c>
      <c r="H214" s="177">
        <f t="shared" si="17"/>
        <v>45.075000000000003</v>
      </c>
      <c r="I214" s="177">
        <f t="shared" si="16"/>
        <v>225.375</v>
      </c>
    </row>
    <row r="215" spans="1:9" s="234" customFormat="1">
      <c r="A215" s="223" t="s">
        <v>200</v>
      </c>
      <c r="B215" s="223" t="s">
        <v>641</v>
      </c>
      <c r="C215" s="223" t="s">
        <v>573</v>
      </c>
      <c r="D215" s="224" t="s">
        <v>201</v>
      </c>
      <c r="E215" s="177" t="s">
        <v>2</v>
      </c>
      <c r="F215" s="177">
        <v>1</v>
      </c>
      <c r="G215" s="177">
        <v>67.73</v>
      </c>
      <c r="H215" s="177">
        <f t="shared" si="17"/>
        <v>84.662500000000009</v>
      </c>
      <c r="I215" s="177">
        <f t="shared" si="16"/>
        <v>84.662500000000009</v>
      </c>
    </row>
    <row r="216" spans="1:9" s="234" customFormat="1">
      <c r="A216" s="223" t="s">
        <v>202</v>
      </c>
      <c r="B216" s="223" t="s">
        <v>642</v>
      </c>
      <c r="C216" s="223" t="s">
        <v>573</v>
      </c>
      <c r="D216" s="224" t="s">
        <v>203</v>
      </c>
      <c r="E216" s="177" t="s">
        <v>2</v>
      </c>
      <c r="F216" s="177">
        <v>2</v>
      </c>
      <c r="G216" s="177">
        <v>43.67</v>
      </c>
      <c r="H216" s="177">
        <f t="shared" si="17"/>
        <v>54.587500000000006</v>
      </c>
      <c r="I216" s="177">
        <f t="shared" si="16"/>
        <v>109.17500000000001</v>
      </c>
    </row>
    <row r="217" spans="1:9" s="234" customFormat="1">
      <c r="A217" s="223" t="s">
        <v>204</v>
      </c>
      <c r="B217" s="223" t="s">
        <v>643</v>
      </c>
      <c r="C217" s="223" t="s">
        <v>573</v>
      </c>
      <c r="D217" s="224" t="s">
        <v>205</v>
      </c>
      <c r="E217" s="177" t="s">
        <v>2</v>
      </c>
      <c r="F217" s="177">
        <v>1</v>
      </c>
      <c r="G217" s="177">
        <v>25.57</v>
      </c>
      <c r="H217" s="177">
        <f t="shared" si="17"/>
        <v>31.962499999999999</v>
      </c>
      <c r="I217" s="177">
        <f t="shared" si="16"/>
        <v>31.962499999999999</v>
      </c>
    </row>
    <row r="218" spans="1:9" s="234" customFormat="1">
      <c r="A218" s="223" t="s">
        <v>206</v>
      </c>
      <c r="B218" s="223" t="s">
        <v>644</v>
      </c>
      <c r="C218" s="223" t="s">
        <v>573</v>
      </c>
      <c r="D218" s="224" t="s">
        <v>207</v>
      </c>
      <c r="E218" s="177" t="s">
        <v>2</v>
      </c>
      <c r="F218" s="177">
        <v>3</v>
      </c>
      <c r="G218" s="177">
        <v>30.38</v>
      </c>
      <c r="H218" s="177">
        <f t="shared" si="17"/>
        <v>37.975000000000001</v>
      </c>
      <c r="I218" s="177">
        <f t="shared" si="16"/>
        <v>113.92500000000001</v>
      </c>
    </row>
    <row r="219" spans="1:9" s="234" customFormat="1">
      <c r="A219" s="262" t="s">
        <v>524</v>
      </c>
      <c r="B219" s="314"/>
      <c r="C219" s="314"/>
      <c r="D219" s="344" t="s">
        <v>21</v>
      </c>
      <c r="E219" s="345"/>
      <c r="F219" s="346"/>
      <c r="G219" s="233"/>
      <c r="H219" s="177"/>
      <c r="I219" s="177"/>
    </row>
    <row r="220" spans="1:9" s="234" customFormat="1">
      <c r="A220" s="223" t="s">
        <v>208</v>
      </c>
      <c r="B220" s="223" t="s">
        <v>645</v>
      </c>
      <c r="C220" s="223" t="s">
        <v>573</v>
      </c>
      <c r="D220" s="224" t="s">
        <v>209</v>
      </c>
      <c r="E220" s="177" t="s">
        <v>4</v>
      </c>
      <c r="F220" s="177">
        <v>62.58</v>
      </c>
      <c r="G220" s="177">
        <v>321.64</v>
      </c>
      <c r="H220" s="177">
        <f>G220*(1+$I$5)</f>
        <v>402.04999999999995</v>
      </c>
      <c r="I220" s="177">
        <f t="shared" si="16"/>
        <v>25160.288999999997</v>
      </c>
    </row>
    <row r="221" spans="1:9" s="234" customFormat="1">
      <c r="A221" s="223" t="s">
        <v>210</v>
      </c>
      <c r="B221" s="223" t="s">
        <v>646</v>
      </c>
      <c r="C221" s="223" t="s">
        <v>563</v>
      </c>
      <c r="D221" s="224" t="s">
        <v>211</v>
      </c>
      <c r="E221" s="177" t="s">
        <v>4</v>
      </c>
      <c r="F221" s="177">
        <v>2.1</v>
      </c>
      <c r="G221" s="177">
        <v>183.33</v>
      </c>
      <c r="H221" s="177">
        <f>G221*(1+$I$5)</f>
        <v>229.16250000000002</v>
      </c>
      <c r="I221" s="177">
        <f t="shared" si="16"/>
        <v>481.24125000000009</v>
      </c>
    </row>
    <row r="222" spans="1:9" s="234" customFormat="1">
      <c r="A222" s="223" t="s">
        <v>212</v>
      </c>
      <c r="B222" s="223" t="s">
        <v>647</v>
      </c>
      <c r="C222" s="223" t="s">
        <v>563</v>
      </c>
      <c r="D222" s="224" t="s">
        <v>213</v>
      </c>
      <c r="E222" s="177" t="s">
        <v>4</v>
      </c>
      <c r="F222" s="177">
        <v>11.4</v>
      </c>
      <c r="G222" s="177">
        <v>197.9</v>
      </c>
      <c r="H222" s="177">
        <f>G222*(1+$I$5)</f>
        <v>247.375</v>
      </c>
      <c r="I222" s="177">
        <f t="shared" si="16"/>
        <v>2820.0750000000003</v>
      </c>
    </row>
    <row r="223" spans="1:9" s="234" customFormat="1">
      <c r="A223" s="235"/>
      <c r="B223" s="156"/>
      <c r="C223" s="156"/>
      <c r="D223" s="156"/>
      <c r="E223" s="156"/>
      <c r="F223" s="156"/>
      <c r="G223" s="156"/>
      <c r="H223" s="157" t="s">
        <v>24</v>
      </c>
      <c r="I223" s="158">
        <f>SUM(I198:I222)</f>
        <v>54504.065249999992</v>
      </c>
    </row>
    <row r="224" spans="1:9" s="234" customFormat="1">
      <c r="A224" s="238"/>
      <c r="B224" s="238"/>
      <c r="C224" s="238"/>
      <c r="D224" s="188"/>
      <c r="E224" s="239"/>
      <c r="F224" s="164"/>
      <c r="G224" s="164"/>
      <c r="H224" s="164"/>
      <c r="I224" s="164"/>
    </row>
    <row r="225" spans="1:9" s="234" customFormat="1">
      <c r="A225" s="261">
        <v>15</v>
      </c>
      <c r="B225" s="261"/>
      <c r="C225" s="261"/>
      <c r="D225" s="227" t="s">
        <v>239</v>
      </c>
      <c r="E225" s="228"/>
      <c r="F225" s="160"/>
      <c r="G225" s="160"/>
      <c r="H225" s="160"/>
      <c r="I225" s="161"/>
    </row>
    <row r="226" spans="1:9" s="234" customFormat="1">
      <c r="A226" s="262" t="s">
        <v>523</v>
      </c>
      <c r="B226" s="314"/>
      <c r="C226" s="314"/>
      <c r="D226" s="344" t="s">
        <v>215</v>
      </c>
      <c r="E226" s="345"/>
      <c r="F226" s="345"/>
      <c r="G226" s="345"/>
      <c r="H226" s="345"/>
      <c r="I226" s="346"/>
    </row>
    <row r="227" spans="1:9" s="234" customFormat="1">
      <c r="A227" s="223" t="s">
        <v>216</v>
      </c>
      <c r="B227" s="223" t="s">
        <v>648</v>
      </c>
      <c r="C227" s="223" t="s">
        <v>563</v>
      </c>
      <c r="D227" s="224" t="s">
        <v>217</v>
      </c>
      <c r="E227" s="177" t="s">
        <v>1</v>
      </c>
      <c r="F227" s="177">
        <v>110</v>
      </c>
      <c r="G227" s="177">
        <v>18.62</v>
      </c>
      <c r="H227" s="177">
        <f t="shared" ref="H227:H238" si="18">G227*(1+$I$5)</f>
        <v>23.275000000000002</v>
      </c>
      <c r="I227" s="177">
        <f>H227*F227</f>
        <v>2560.2500000000005</v>
      </c>
    </row>
    <row r="228" spans="1:9" s="234" customFormat="1">
      <c r="A228" s="223" t="s">
        <v>218</v>
      </c>
      <c r="B228" s="223" t="s">
        <v>649</v>
      </c>
      <c r="C228" s="223" t="s">
        <v>563</v>
      </c>
      <c r="D228" s="224" t="s">
        <v>219</v>
      </c>
      <c r="E228" s="177" t="s">
        <v>2</v>
      </c>
      <c r="F228" s="177">
        <v>26</v>
      </c>
      <c r="G228" s="177">
        <v>11.66</v>
      </c>
      <c r="H228" s="177">
        <f t="shared" si="18"/>
        <v>14.574999999999999</v>
      </c>
      <c r="I228" s="177">
        <f t="shared" ref="I228:I238" si="19">H228*F228</f>
        <v>378.95</v>
      </c>
    </row>
    <row r="229" spans="1:9" s="234" customFormat="1">
      <c r="A229" s="223" t="s">
        <v>220</v>
      </c>
      <c r="B229" s="223" t="s">
        <v>650</v>
      </c>
      <c r="C229" s="223" t="s">
        <v>563</v>
      </c>
      <c r="D229" s="224" t="s">
        <v>221</v>
      </c>
      <c r="E229" s="177" t="s">
        <v>2</v>
      </c>
      <c r="F229" s="177">
        <v>45</v>
      </c>
      <c r="G229" s="177">
        <v>14.02</v>
      </c>
      <c r="H229" s="177">
        <f t="shared" si="18"/>
        <v>17.524999999999999</v>
      </c>
      <c r="I229" s="177">
        <f t="shared" si="19"/>
        <v>788.62499999999989</v>
      </c>
    </row>
    <row r="230" spans="1:9" s="234" customFormat="1">
      <c r="A230" s="223" t="s">
        <v>222</v>
      </c>
      <c r="B230" s="223" t="s">
        <v>651</v>
      </c>
      <c r="C230" s="223" t="s">
        <v>563</v>
      </c>
      <c r="D230" s="224" t="s">
        <v>223</v>
      </c>
      <c r="E230" s="177" t="s">
        <v>141</v>
      </c>
      <c r="F230" s="177">
        <v>45</v>
      </c>
      <c r="G230" s="177">
        <v>1.91</v>
      </c>
      <c r="H230" s="177">
        <f t="shared" si="18"/>
        <v>2.3874999999999997</v>
      </c>
      <c r="I230" s="177">
        <f t="shared" si="19"/>
        <v>107.43749999999999</v>
      </c>
    </row>
    <row r="231" spans="1:9" s="234" customFormat="1">
      <c r="A231" s="223" t="s">
        <v>224</v>
      </c>
      <c r="B231" s="223" t="s">
        <v>652</v>
      </c>
      <c r="C231" s="223" t="s">
        <v>563</v>
      </c>
      <c r="D231" s="224" t="s">
        <v>225</v>
      </c>
      <c r="E231" s="177" t="s">
        <v>1</v>
      </c>
      <c r="F231" s="177">
        <v>130</v>
      </c>
      <c r="G231" s="177">
        <v>3.4</v>
      </c>
      <c r="H231" s="177">
        <f t="shared" si="18"/>
        <v>4.25</v>
      </c>
      <c r="I231" s="177">
        <f t="shared" si="19"/>
        <v>552.5</v>
      </c>
    </row>
    <row r="232" spans="1:9" s="234" customFormat="1">
      <c r="A232" s="223" t="s">
        <v>226</v>
      </c>
      <c r="B232" s="223" t="s">
        <v>653</v>
      </c>
      <c r="C232" s="223" t="s">
        <v>563</v>
      </c>
      <c r="D232" s="224" t="s">
        <v>227</v>
      </c>
      <c r="E232" s="177" t="s">
        <v>1</v>
      </c>
      <c r="F232" s="177">
        <v>205</v>
      </c>
      <c r="G232" s="177">
        <v>10.78</v>
      </c>
      <c r="H232" s="177">
        <f t="shared" si="18"/>
        <v>13.475</v>
      </c>
      <c r="I232" s="177">
        <f t="shared" si="19"/>
        <v>2762.375</v>
      </c>
    </row>
    <row r="233" spans="1:9">
      <c r="A233" s="223" t="s">
        <v>228</v>
      </c>
      <c r="B233" s="223" t="s">
        <v>654</v>
      </c>
      <c r="C233" s="223" t="s">
        <v>563</v>
      </c>
      <c r="D233" s="224" t="s">
        <v>229</v>
      </c>
      <c r="E233" s="177" t="s">
        <v>2</v>
      </c>
      <c r="F233" s="177">
        <v>1</v>
      </c>
      <c r="G233" s="177">
        <v>35.64</v>
      </c>
      <c r="H233" s="177">
        <f t="shared" si="18"/>
        <v>44.55</v>
      </c>
      <c r="I233" s="177">
        <f t="shared" si="19"/>
        <v>44.55</v>
      </c>
    </row>
    <row r="234" spans="1:9" ht="22.5">
      <c r="A234" s="223" t="s">
        <v>230</v>
      </c>
      <c r="B234" s="223" t="s">
        <v>655</v>
      </c>
      <c r="C234" s="223" t="s">
        <v>573</v>
      </c>
      <c r="D234" s="224" t="s">
        <v>280</v>
      </c>
      <c r="E234" s="177" t="s">
        <v>2</v>
      </c>
      <c r="F234" s="177">
        <v>1</v>
      </c>
      <c r="G234" s="177">
        <v>216.2</v>
      </c>
      <c r="H234" s="177">
        <f t="shared" si="18"/>
        <v>270.25</v>
      </c>
      <c r="I234" s="177">
        <f t="shared" si="19"/>
        <v>270.25</v>
      </c>
    </row>
    <row r="235" spans="1:9">
      <c r="A235" s="223" t="s">
        <v>231</v>
      </c>
      <c r="B235" s="223" t="s">
        <v>656</v>
      </c>
      <c r="C235" s="223" t="s">
        <v>563</v>
      </c>
      <c r="D235" s="224" t="s">
        <v>232</v>
      </c>
      <c r="E235" s="177" t="s">
        <v>2</v>
      </c>
      <c r="F235" s="177">
        <v>19</v>
      </c>
      <c r="G235" s="177">
        <v>19.829999999999998</v>
      </c>
      <c r="H235" s="177">
        <f t="shared" si="18"/>
        <v>24.787499999999998</v>
      </c>
      <c r="I235" s="177">
        <f t="shared" si="19"/>
        <v>470.96249999999998</v>
      </c>
    </row>
    <row r="236" spans="1:9">
      <c r="A236" s="223" t="s">
        <v>233</v>
      </c>
      <c r="B236" s="223" t="s">
        <v>657</v>
      </c>
      <c r="C236" s="223" t="s">
        <v>563</v>
      </c>
      <c r="D236" s="224" t="s">
        <v>234</v>
      </c>
      <c r="E236" s="177" t="s">
        <v>2</v>
      </c>
      <c r="F236" s="177">
        <v>19</v>
      </c>
      <c r="G236" s="177">
        <v>5.8</v>
      </c>
      <c r="H236" s="177">
        <f t="shared" si="18"/>
        <v>7.25</v>
      </c>
      <c r="I236" s="177">
        <f t="shared" si="19"/>
        <v>137.75</v>
      </c>
    </row>
    <row r="237" spans="1:9">
      <c r="A237" s="223" t="s">
        <v>235</v>
      </c>
      <c r="B237" s="223" t="s">
        <v>658</v>
      </c>
      <c r="C237" s="223" t="s">
        <v>561</v>
      </c>
      <c r="D237" s="224" t="s">
        <v>236</v>
      </c>
      <c r="E237" s="177" t="s">
        <v>2</v>
      </c>
      <c r="F237" s="177">
        <v>5</v>
      </c>
      <c r="G237" s="177">
        <v>28.79</v>
      </c>
      <c r="H237" s="177">
        <f t="shared" si="18"/>
        <v>35.987499999999997</v>
      </c>
      <c r="I237" s="177">
        <f t="shared" si="19"/>
        <v>179.9375</v>
      </c>
    </row>
    <row r="238" spans="1:9">
      <c r="A238" s="223" t="s">
        <v>237</v>
      </c>
      <c r="B238" s="223" t="s">
        <v>659</v>
      </c>
      <c r="C238" s="223" t="s">
        <v>563</v>
      </c>
      <c r="D238" s="224" t="s">
        <v>238</v>
      </c>
      <c r="E238" s="177" t="s">
        <v>2</v>
      </c>
      <c r="F238" s="177">
        <v>22</v>
      </c>
      <c r="G238" s="177">
        <v>15.18</v>
      </c>
      <c r="H238" s="177">
        <f t="shared" si="18"/>
        <v>18.975000000000001</v>
      </c>
      <c r="I238" s="177">
        <f t="shared" si="19"/>
        <v>417.45000000000005</v>
      </c>
    </row>
    <row r="239" spans="1:9">
      <c r="A239" s="235"/>
      <c r="B239" s="156"/>
      <c r="C239" s="156"/>
      <c r="D239" s="156"/>
      <c r="E239" s="156"/>
      <c r="F239" s="156"/>
      <c r="G239" s="156"/>
      <c r="H239" s="157" t="s">
        <v>24</v>
      </c>
      <c r="I239" s="158">
        <f>SUM(I226:I238)</f>
        <v>8671.0375000000022</v>
      </c>
    </row>
    <row r="240" spans="1:9">
      <c r="A240" s="240"/>
      <c r="B240" s="240"/>
      <c r="C240" s="240"/>
      <c r="D240" s="241"/>
      <c r="E240" s="242"/>
      <c r="F240" s="159"/>
      <c r="G240" s="159"/>
      <c r="H240" s="159"/>
      <c r="I240" s="159"/>
    </row>
    <row r="241" spans="1:9">
      <c r="A241" s="261">
        <v>16</v>
      </c>
      <c r="B241" s="261"/>
      <c r="C241" s="261"/>
      <c r="D241" s="227" t="s">
        <v>253</v>
      </c>
      <c r="E241" s="228"/>
      <c r="F241" s="160"/>
      <c r="G241" s="160"/>
      <c r="H241" s="160"/>
      <c r="I241" s="161"/>
    </row>
    <row r="242" spans="1:9">
      <c r="A242" s="262" t="s">
        <v>522</v>
      </c>
      <c r="B242" s="262"/>
      <c r="C242" s="262"/>
      <c r="D242" s="222" t="s">
        <v>240</v>
      </c>
      <c r="E242" s="243"/>
      <c r="F242" s="243"/>
      <c r="G242" s="243"/>
      <c r="H242" s="243"/>
      <c r="I242" s="178"/>
    </row>
    <row r="243" spans="1:9" s="234" customFormat="1">
      <c r="A243" s="283" t="s">
        <v>241</v>
      </c>
      <c r="B243" s="283" t="s">
        <v>660</v>
      </c>
      <c r="C243" s="283" t="s">
        <v>563</v>
      </c>
      <c r="D243" s="284" t="s">
        <v>242</v>
      </c>
      <c r="E243" s="285" t="s">
        <v>1</v>
      </c>
      <c r="F243" s="285">
        <v>13.05</v>
      </c>
      <c r="G243" s="285">
        <v>95.29</v>
      </c>
      <c r="H243" s="285">
        <f t="shared" ref="H243:H249" si="20">G243*(1+$I$5)</f>
        <v>119.11250000000001</v>
      </c>
      <c r="I243" s="285">
        <f>H243*F243</f>
        <v>1554.4181250000001</v>
      </c>
    </row>
    <row r="244" spans="1:9">
      <c r="A244" s="223" t="s">
        <v>243</v>
      </c>
      <c r="B244" s="223" t="s">
        <v>661</v>
      </c>
      <c r="C244" s="223" t="s">
        <v>563</v>
      </c>
      <c r="D244" s="224" t="s">
        <v>244</v>
      </c>
      <c r="E244" s="177" t="s">
        <v>245</v>
      </c>
      <c r="F244" s="177">
        <v>4.2</v>
      </c>
      <c r="G244" s="177">
        <v>740.64</v>
      </c>
      <c r="H244" s="177">
        <f t="shared" si="20"/>
        <v>925.8</v>
      </c>
      <c r="I244" s="177">
        <f>H244*F244</f>
        <v>3888.36</v>
      </c>
    </row>
    <row r="245" spans="1:9">
      <c r="A245" s="223" t="s">
        <v>246</v>
      </c>
      <c r="B245" s="223" t="s">
        <v>662</v>
      </c>
      <c r="C245" s="223" t="s">
        <v>563</v>
      </c>
      <c r="D245" s="224" t="s">
        <v>281</v>
      </c>
      <c r="E245" s="177" t="s">
        <v>247</v>
      </c>
      <c r="F245" s="177">
        <v>2</v>
      </c>
      <c r="G245" s="177">
        <v>15.43</v>
      </c>
      <c r="H245" s="177">
        <f t="shared" si="20"/>
        <v>19.287500000000001</v>
      </c>
      <c r="I245" s="177">
        <f t="shared" ref="I245:I249" si="21">H245*F245</f>
        <v>38.575000000000003</v>
      </c>
    </row>
    <row r="246" spans="1:9">
      <c r="A246" s="262" t="s">
        <v>521</v>
      </c>
      <c r="B246" s="262"/>
      <c r="C246" s="262"/>
      <c r="D246" s="222" t="s">
        <v>248</v>
      </c>
      <c r="E246" s="243"/>
      <c r="F246" s="243"/>
      <c r="G246" s="243"/>
      <c r="H246" s="177">
        <f t="shared" si="20"/>
        <v>0</v>
      </c>
      <c r="I246" s="177"/>
    </row>
    <row r="247" spans="1:9">
      <c r="A247" s="223" t="s">
        <v>249</v>
      </c>
      <c r="B247" s="223" t="s">
        <v>663</v>
      </c>
      <c r="C247" s="223" t="s">
        <v>561</v>
      </c>
      <c r="D247" s="224" t="s">
        <v>250</v>
      </c>
      <c r="E247" s="177" t="s">
        <v>245</v>
      </c>
      <c r="F247" s="177">
        <v>15.6</v>
      </c>
      <c r="G247" s="177">
        <v>115.94</v>
      </c>
      <c r="H247" s="177">
        <f t="shared" si="20"/>
        <v>144.92500000000001</v>
      </c>
      <c r="I247" s="177">
        <f t="shared" si="21"/>
        <v>2260.83</v>
      </c>
    </row>
    <row r="248" spans="1:9" ht="22.5">
      <c r="A248" s="223" t="s">
        <v>251</v>
      </c>
      <c r="B248" s="223" t="s">
        <v>664</v>
      </c>
      <c r="C248" s="223" t="s">
        <v>561</v>
      </c>
      <c r="D248" s="224" t="s">
        <v>282</v>
      </c>
      <c r="E248" s="177" t="s">
        <v>245</v>
      </c>
      <c r="F248" s="177">
        <v>9.1999999999999993</v>
      </c>
      <c r="G248" s="177">
        <v>160.30000000000001</v>
      </c>
      <c r="H248" s="177">
        <f t="shared" si="20"/>
        <v>200.375</v>
      </c>
      <c r="I248" s="177">
        <f t="shared" si="21"/>
        <v>1843.4499999999998</v>
      </c>
    </row>
    <row r="249" spans="1:9" ht="22.5">
      <c r="A249" s="223" t="s">
        <v>252</v>
      </c>
      <c r="B249" s="223" t="s">
        <v>620</v>
      </c>
      <c r="C249" s="223" t="s">
        <v>573</v>
      </c>
      <c r="D249" s="224" t="s">
        <v>283</v>
      </c>
      <c r="E249" s="177" t="s">
        <v>1</v>
      </c>
      <c r="F249" s="177">
        <v>15.6</v>
      </c>
      <c r="G249" s="177">
        <v>19.329999999999998</v>
      </c>
      <c r="H249" s="177">
        <f t="shared" si="20"/>
        <v>24.162499999999998</v>
      </c>
      <c r="I249" s="177">
        <f t="shared" si="21"/>
        <v>376.93499999999995</v>
      </c>
    </row>
    <row r="250" spans="1:9" s="234" customFormat="1">
      <c r="A250" s="235"/>
      <c r="B250" s="156"/>
      <c r="C250" s="156"/>
      <c r="D250" s="156"/>
      <c r="E250" s="156"/>
      <c r="F250" s="156"/>
      <c r="G250" s="156"/>
      <c r="H250" s="157" t="s">
        <v>24</v>
      </c>
      <c r="I250" s="158">
        <f>SUM(I242:I249)</f>
        <v>9962.5681249999998</v>
      </c>
    </row>
    <row r="251" spans="1:9" s="234" customFormat="1">
      <c r="A251" s="187"/>
      <c r="B251" s="187"/>
      <c r="C251" s="187"/>
      <c r="D251" s="187"/>
      <c r="E251" s="187"/>
      <c r="F251" s="162"/>
      <c r="G251" s="162"/>
      <c r="H251" s="162"/>
      <c r="I251" s="163"/>
    </row>
    <row r="252" spans="1:9" s="234" customFormat="1">
      <c r="A252" s="261">
        <v>17</v>
      </c>
      <c r="B252" s="261"/>
      <c r="C252" s="261"/>
      <c r="D252" s="227" t="s">
        <v>255</v>
      </c>
      <c r="E252" s="228"/>
      <c r="F252" s="160"/>
      <c r="G252" s="160"/>
      <c r="H252" s="160"/>
      <c r="I252" s="161"/>
    </row>
    <row r="253" spans="1:9" s="234" customFormat="1">
      <c r="A253" s="262" t="s">
        <v>520</v>
      </c>
      <c r="B253" s="314"/>
      <c r="C253" s="314"/>
      <c r="D253" s="344" t="s">
        <v>254</v>
      </c>
      <c r="E253" s="345"/>
      <c r="F253" s="345"/>
      <c r="G253" s="345"/>
      <c r="H253" s="345"/>
      <c r="I253" s="346"/>
    </row>
    <row r="254" spans="1:9" s="234" customFormat="1">
      <c r="A254" s="223" t="s">
        <v>30</v>
      </c>
      <c r="B254" s="223" t="s">
        <v>665</v>
      </c>
      <c r="C254" s="223" t="s">
        <v>563</v>
      </c>
      <c r="D254" s="224" t="s">
        <v>5</v>
      </c>
      <c r="E254" s="177" t="s">
        <v>4</v>
      </c>
      <c r="F254" s="177">
        <v>853.2</v>
      </c>
      <c r="G254" s="177">
        <v>2.17</v>
      </c>
      <c r="H254" s="177">
        <f t="shared" ref="H254" si="22">G254*(1+$I$5)</f>
        <v>2.7124999999999999</v>
      </c>
      <c r="I254" s="177">
        <f t="shared" ref="I254" si="23">H254*F254</f>
        <v>2314.3049999999998</v>
      </c>
    </row>
    <row r="255" spans="1:9" s="234" customFormat="1">
      <c r="A255" s="235"/>
      <c r="B255" s="156"/>
      <c r="C255" s="156"/>
      <c r="D255" s="156"/>
      <c r="E255" s="156"/>
      <c r="F255" s="156"/>
      <c r="G255" s="156"/>
      <c r="H255" s="157" t="s">
        <v>24</v>
      </c>
      <c r="I255" s="158">
        <f>SUM(I253:I254)</f>
        <v>2314.3049999999998</v>
      </c>
    </row>
    <row r="256" spans="1:9" s="234" customFormat="1">
      <c r="A256" s="239"/>
      <c r="B256" s="239"/>
      <c r="C256" s="239"/>
      <c r="D256" s="244"/>
      <c r="E256" s="245"/>
      <c r="F256" s="165"/>
      <c r="G256" s="165"/>
      <c r="H256" s="165"/>
      <c r="I256" s="165"/>
    </row>
    <row r="257" spans="1:11">
      <c r="A257" s="246"/>
      <c r="B257" s="246"/>
      <c r="C257" s="246"/>
      <c r="D257" s="247"/>
      <c r="E257" s="166"/>
      <c r="F257" s="166"/>
      <c r="G257" s="166"/>
      <c r="H257" s="167"/>
      <c r="I257" s="168"/>
    </row>
    <row r="258" spans="1:11">
      <c r="A258" s="248"/>
      <c r="B258" s="317"/>
      <c r="C258" s="317"/>
      <c r="D258" s="249"/>
      <c r="E258" s="169"/>
      <c r="F258" s="169"/>
      <c r="G258" s="169"/>
      <c r="H258" s="170" t="s">
        <v>142</v>
      </c>
      <c r="I258" s="155">
        <f>I255+I250+I239+I223+I195+I185+I178+I169+I158+I149+I135+I122+I63</f>
        <v>345542.26156477293</v>
      </c>
      <c r="K258" s="179">
        <f>L8-I258</f>
        <v>-90070.531564772915</v>
      </c>
    </row>
    <row r="260" spans="1:11">
      <c r="A260" s="343" t="s">
        <v>143</v>
      </c>
      <c r="B260" s="343"/>
      <c r="C260" s="343"/>
      <c r="D260" s="343"/>
      <c r="E260" s="343"/>
      <c r="F260" s="343"/>
      <c r="G260" s="343"/>
      <c r="H260" s="343"/>
      <c r="I260" s="343"/>
    </row>
    <row r="261" spans="1:11">
      <c r="A261" s="342" t="str">
        <f>UPPER([1]!VExtenso(I258))</f>
        <v>TREZENTOS E QUARENTA E CINCO MIL, QUINHENTOS E QUARENTA E DOIS REAIS E VINTE E SEIS CENTAVOS</v>
      </c>
      <c r="B261" s="342"/>
      <c r="C261" s="342"/>
      <c r="D261" s="342"/>
      <c r="E261" s="342"/>
      <c r="F261" s="342"/>
      <c r="G261" s="342"/>
      <c r="H261" s="342"/>
      <c r="I261" s="342"/>
    </row>
  </sheetData>
  <dataConsolidate/>
  <mergeCells count="21">
    <mergeCell ref="D226:I226"/>
    <mergeCell ref="D253:I253"/>
    <mergeCell ref="D172:I172"/>
    <mergeCell ref="D174:F174"/>
    <mergeCell ref="D176:F176"/>
    <mergeCell ref="D63:H63"/>
    <mergeCell ref="D122:H122"/>
    <mergeCell ref="D135:H135"/>
    <mergeCell ref="A261:I261"/>
    <mergeCell ref="A260:I260"/>
    <mergeCell ref="D144:F144"/>
    <mergeCell ref="D146:F146"/>
    <mergeCell ref="D161:I161"/>
    <mergeCell ref="D167:F167"/>
    <mergeCell ref="D181:I181"/>
    <mergeCell ref="D198:I198"/>
    <mergeCell ref="D200:F200"/>
    <mergeCell ref="D206:F206"/>
    <mergeCell ref="D210:F210"/>
    <mergeCell ref="D212:F212"/>
    <mergeCell ref="D219:F219"/>
  </mergeCells>
  <phoneticPr fontId="36" type="noConversion"/>
  <conditionalFormatting sqref="A123:C123 D122 F9:H11">
    <cfRule type="cellIs" dxfId="14" priority="398" stopIfTrue="1" operator="equal">
      <formula>0</formula>
    </cfRule>
  </conditionalFormatting>
  <conditionalFormatting sqref="F251:H251">
    <cfRule type="cellIs" dxfId="13" priority="47" stopIfTrue="1" operator="equal">
      <formula>0</formula>
    </cfRule>
  </conditionalFormatting>
  <conditionalFormatting sqref="F255:H255">
    <cfRule type="cellIs" dxfId="12" priority="41" stopIfTrue="1" operator="equal">
      <formula>0</formula>
    </cfRule>
  </conditionalFormatting>
  <conditionalFormatting sqref="F239:H239">
    <cfRule type="cellIs" dxfId="11" priority="39" stopIfTrue="1" operator="equal">
      <formula>0</formula>
    </cfRule>
  </conditionalFormatting>
  <conditionalFormatting sqref="F250:H250">
    <cfRule type="cellIs" dxfId="10" priority="40" stopIfTrue="1" operator="equal">
      <formula>0</formula>
    </cfRule>
  </conditionalFormatting>
  <conditionalFormatting sqref="F223:H223">
    <cfRule type="cellIs" dxfId="9" priority="38" stopIfTrue="1" operator="equal">
      <formula>0</formula>
    </cfRule>
  </conditionalFormatting>
  <conditionalFormatting sqref="F185:H186">
    <cfRule type="cellIs" dxfId="8" priority="37" stopIfTrue="1" operator="equal">
      <formula>0</formula>
    </cfRule>
  </conditionalFormatting>
  <conditionalFormatting sqref="F169:H169">
    <cfRule type="cellIs" dxfId="7" priority="36" stopIfTrue="1" operator="equal">
      <formula>0</formula>
    </cfRule>
  </conditionalFormatting>
  <conditionalFormatting sqref="F149:H150">
    <cfRule type="cellIs" dxfId="6" priority="35" stopIfTrue="1" operator="equal">
      <formula>0</formula>
    </cfRule>
  </conditionalFormatting>
  <conditionalFormatting sqref="F178:H178">
    <cfRule type="cellIs" dxfId="5" priority="6" stopIfTrue="1" operator="equal">
      <formula>0</formula>
    </cfRule>
  </conditionalFormatting>
  <conditionalFormatting sqref="A63:C64 A136:C136">
    <cfRule type="cellIs" dxfId="4" priority="5" stopIfTrue="1" operator="equal">
      <formula>0</formula>
    </cfRule>
  </conditionalFormatting>
  <conditionalFormatting sqref="A135:C135">
    <cfRule type="cellIs" dxfId="3" priority="4" stopIfTrue="1" operator="equal">
      <formula>0</formula>
    </cfRule>
  </conditionalFormatting>
  <conditionalFormatting sqref="F159:H159">
    <cfRule type="cellIs" dxfId="2" priority="3" stopIfTrue="1" operator="equal">
      <formula>0</formula>
    </cfRule>
  </conditionalFormatting>
  <conditionalFormatting sqref="F196:H196">
    <cfRule type="cellIs" dxfId="1" priority="2" stopIfTrue="1" operator="equal">
      <formula>0</formula>
    </cfRule>
  </conditionalFormatting>
  <conditionalFormatting sqref="D135">
    <cfRule type="cellIs" dxfId="0" priority="1" stopIfTrue="1" operator="equal">
      <formula>0</formula>
    </cfRule>
  </conditionalFormatting>
  <pageMargins left="0.51181102362204722" right="0.51181102362204722" top="1.1023622047244095" bottom="0.78740157480314965" header="0.31496062992125984" footer="0.31496062992125984"/>
  <pageSetup paperSize="9" scale="58" fitToHeight="0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showGridLines="0" view="pageBreakPreview" zoomScaleNormal="100" zoomScaleSheetLayoutView="100" workbookViewId="0">
      <selection activeCell="A6" sqref="A6"/>
    </sheetView>
  </sheetViews>
  <sheetFormatPr defaultRowHeight="12.75"/>
  <cols>
    <col min="1" max="1" width="9.140625" style="3"/>
    <col min="2" max="2" width="76" style="3" customWidth="1"/>
    <col min="3" max="3" width="16" style="3" customWidth="1"/>
    <col min="4" max="4" width="14.42578125" style="3" bestFit="1" customWidth="1"/>
    <col min="5" max="5" width="12.85546875" style="3" customWidth="1"/>
    <col min="6" max="7" width="14.42578125" style="3" customWidth="1"/>
    <col min="8" max="12" width="14.42578125" style="3" hidden="1" customWidth="1"/>
    <col min="13" max="13" width="14.28515625" style="3" hidden="1" customWidth="1"/>
    <col min="14" max="14" width="13.28515625" style="3" hidden="1" customWidth="1"/>
    <col min="15" max="15" width="9.140625" style="3"/>
    <col min="16" max="16" width="20.85546875" style="3" customWidth="1"/>
    <col min="17" max="17" width="9.140625" style="3"/>
    <col min="18" max="18" width="11.28515625" style="3" bestFit="1" customWidth="1"/>
    <col min="19" max="257" width="9.140625" style="3"/>
    <col min="258" max="258" width="48.7109375" style="3" customWidth="1"/>
    <col min="259" max="259" width="16" style="3" customWidth="1"/>
    <col min="260" max="260" width="10.5703125" style="3" bestFit="1" customWidth="1"/>
    <col min="261" max="261" width="12.85546875" style="3" customWidth="1"/>
    <col min="262" max="268" width="14.42578125" style="3" customWidth="1"/>
    <col min="269" max="269" width="12" style="3" customWidth="1"/>
    <col min="270" max="513" width="9.140625" style="3"/>
    <col min="514" max="514" width="48.7109375" style="3" customWidth="1"/>
    <col min="515" max="515" width="16" style="3" customWidth="1"/>
    <col min="516" max="516" width="10.5703125" style="3" bestFit="1" customWidth="1"/>
    <col min="517" max="517" width="12.85546875" style="3" customWidth="1"/>
    <col min="518" max="524" width="14.42578125" style="3" customWidth="1"/>
    <col min="525" max="525" width="12" style="3" customWidth="1"/>
    <col min="526" max="769" width="9.140625" style="3"/>
    <col min="770" max="770" width="48.7109375" style="3" customWidth="1"/>
    <col min="771" max="771" width="16" style="3" customWidth="1"/>
    <col min="772" max="772" width="10.5703125" style="3" bestFit="1" customWidth="1"/>
    <col min="773" max="773" width="12.85546875" style="3" customWidth="1"/>
    <col min="774" max="780" width="14.42578125" style="3" customWidth="1"/>
    <col min="781" max="781" width="12" style="3" customWidth="1"/>
    <col min="782" max="1025" width="9.140625" style="3"/>
    <col min="1026" max="1026" width="48.7109375" style="3" customWidth="1"/>
    <col min="1027" max="1027" width="16" style="3" customWidth="1"/>
    <col min="1028" max="1028" width="10.5703125" style="3" bestFit="1" customWidth="1"/>
    <col min="1029" max="1029" width="12.85546875" style="3" customWidth="1"/>
    <col min="1030" max="1036" width="14.42578125" style="3" customWidth="1"/>
    <col min="1037" max="1037" width="12" style="3" customWidth="1"/>
    <col min="1038" max="1281" width="9.140625" style="3"/>
    <col min="1282" max="1282" width="48.7109375" style="3" customWidth="1"/>
    <col min="1283" max="1283" width="16" style="3" customWidth="1"/>
    <col min="1284" max="1284" width="10.5703125" style="3" bestFit="1" customWidth="1"/>
    <col min="1285" max="1285" width="12.85546875" style="3" customWidth="1"/>
    <col min="1286" max="1292" width="14.42578125" style="3" customWidth="1"/>
    <col min="1293" max="1293" width="12" style="3" customWidth="1"/>
    <col min="1294" max="1537" width="9.140625" style="3"/>
    <col min="1538" max="1538" width="48.7109375" style="3" customWidth="1"/>
    <col min="1539" max="1539" width="16" style="3" customWidth="1"/>
    <col min="1540" max="1540" width="10.5703125" style="3" bestFit="1" customWidth="1"/>
    <col min="1541" max="1541" width="12.85546875" style="3" customWidth="1"/>
    <col min="1542" max="1548" width="14.42578125" style="3" customWidth="1"/>
    <col min="1549" max="1549" width="12" style="3" customWidth="1"/>
    <col min="1550" max="1793" width="9.140625" style="3"/>
    <col min="1794" max="1794" width="48.7109375" style="3" customWidth="1"/>
    <col min="1795" max="1795" width="16" style="3" customWidth="1"/>
    <col min="1796" max="1796" width="10.5703125" style="3" bestFit="1" customWidth="1"/>
    <col min="1797" max="1797" width="12.85546875" style="3" customWidth="1"/>
    <col min="1798" max="1804" width="14.42578125" style="3" customWidth="1"/>
    <col min="1805" max="1805" width="12" style="3" customWidth="1"/>
    <col min="1806" max="2049" width="9.140625" style="3"/>
    <col min="2050" max="2050" width="48.7109375" style="3" customWidth="1"/>
    <col min="2051" max="2051" width="16" style="3" customWidth="1"/>
    <col min="2052" max="2052" width="10.5703125" style="3" bestFit="1" customWidth="1"/>
    <col min="2053" max="2053" width="12.85546875" style="3" customWidth="1"/>
    <col min="2054" max="2060" width="14.42578125" style="3" customWidth="1"/>
    <col min="2061" max="2061" width="12" style="3" customWidth="1"/>
    <col min="2062" max="2305" width="9.140625" style="3"/>
    <col min="2306" max="2306" width="48.7109375" style="3" customWidth="1"/>
    <col min="2307" max="2307" width="16" style="3" customWidth="1"/>
    <col min="2308" max="2308" width="10.5703125" style="3" bestFit="1" customWidth="1"/>
    <col min="2309" max="2309" width="12.85546875" style="3" customWidth="1"/>
    <col min="2310" max="2316" width="14.42578125" style="3" customWidth="1"/>
    <col min="2317" max="2317" width="12" style="3" customWidth="1"/>
    <col min="2318" max="2561" width="9.140625" style="3"/>
    <col min="2562" max="2562" width="48.7109375" style="3" customWidth="1"/>
    <col min="2563" max="2563" width="16" style="3" customWidth="1"/>
    <col min="2564" max="2564" width="10.5703125" style="3" bestFit="1" customWidth="1"/>
    <col min="2565" max="2565" width="12.85546875" style="3" customWidth="1"/>
    <col min="2566" max="2572" width="14.42578125" style="3" customWidth="1"/>
    <col min="2573" max="2573" width="12" style="3" customWidth="1"/>
    <col min="2574" max="2817" width="9.140625" style="3"/>
    <col min="2818" max="2818" width="48.7109375" style="3" customWidth="1"/>
    <col min="2819" max="2819" width="16" style="3" customWidth="1"/>
    <col min="2820" max="2820" width="10.5703125" style="3" bestFit="1" customWidth="1"/>
    <col min="2821" max="2821" width="12.85546875" style="3" customWidth="1"/>
    <col min="2822" max="2828" width="14.42578125" style="3" customWidth="1"/>
    <col min="2829" max="2829" width="12" style="3" customWidth="1"/>
    <col min="2830" max="3073" width="9.140625" style="3"/>
    <col min="3074" max="3074" width="48.7109375" style="3" customWidth="1"/>
    <col min="3075" max="3075" width="16" style="3" customWidth="1"/>
    <col min="3076" max="3076" width="10.5703125" style="3" bestFit="1" customWidth="1"/>
    <col min="3077" max="3077" width="12.85546875" style="3" customWidth="1"/>
    <col min="3078" max="3084" width="14.42578125" style="3" customWidth="1"/>
    <col min="3085" max="3085" width="12" style="3" customWidth="1"/>
    <col min="3086" max="3329" width="9.140625" style="3"/>
    <col min="3330" max="3330" width="48.7109375" style="3" customWidth="1"/>
    <col min="3331" max="3331" width="16" style="3" customWidth="1"/>
    <col min="3332" max="3332" width="10.5703125" style="3" bestFit="1" customWidth="1"/>
    <col min="3333" max="3333" width="12.85546875" style="3" customWidth="1"/>
    <col min="3334" max="3340" width="14.42578125" style="3" customWidth="1"/>
    <col min="3341" max="3341" width="12" style="3" customWidth="1"/>
    <col min="3342" max="3585" width="9.140625" style="3"/>
    <col min="3586" max="3586" width="48.7109375" style="3" customWidth="1"/>
    <col min="3587" max="3587" width="16" style="3" customWidth="1"/>
    <col min="3588" max="3588" width="10.5703125" style="3" bestFit="1" customWidth="1"/>
    <col min="3589" max="3589" width="12.85546875" style="3" customWidth="1"/>
    <col min="3590" max="3596" width="14.42578125" style="3" customWidth="1"/>
    <col min="3597" max="3597" width="12" style="3" customWidth="1"/>
    <col min="3598" max="3841" width="9.140625" style="3"/>
    <col min="3842" max="3842" width="48.7109375" style="3" customWidth="1"/>
    <col min="3843" max="3843" width="16" style="3" customWidth="1"/>
    <col min="3844" max="3844" width="10.5703125" style="3" bestFit="1" customWidth="1"/>
    <col min="3845" max="3845" width="12.85546875" style="3" customWidth="1"/>
    <col min="3846" max="3852" width="14.42578125" style="3" customWidth="1"/>
    <col min="3853" max="3853" width="12" style="3" customWidth="1"/>
    <col min="3854" max="4097" width="9.140625" style="3"/>
    <col min="4098" max="4098" width="48.7109375" style="3" customWidth="1"/>
    <col min="4099" max="4099" width="16" style="3" customWidth="1"/>
    <col min="4100" max="4100" width="10.5703125" style="3" bestFit="1" customWidth="1"/>
    <col min="4101" max="4101" width="12.85546875" style="3" customWidth="1"/>
    <col min="4102" max="4108" width="14.42578125" style="3" customWidth="1"/>
    <col min="4109" max="4109" width="12" style="3" customWidth="1"/>
    <col min="4110" max="4353" width="9.140625" style="3"/>
    <col min="4354" max="4354" width="48.7109375" style="3" customWidth="1"/>
    <col min="4355" max="4355" width="16" style="3" customWidth="1"/>
    <col min="4356" max="4356" width="10.5703125" style="3" bestFit="1" customWidth="1"/>
    <col min="4357" max="4357" width="12.85546875" style="3" customWidth="1"/>
    <col min="4358" max="4364" width="14.42578125" style="3" customWidth="1"/>
    <col min="4365" max="4365" width="12" style="3" customWidth="1"/>
    <col min="4366" max="4609" width="9.140625" style="3"/>
    <col min="4610" max="4610" width="48.7109375" style="3" customWidth="1"/>
    <col min="4611" max="4611" width="16" style="3" customWidth="1"/>
    <col min="4612" max="4612" width="10.5703125" style="3" bestFit="1" customWidth="1"/>
    <col min="4613" max="4613" width="12.85546875" style="3" customWidth="1"/>
    <col min="4614" max="4620" width="14.42578125" style="3" customWidth="1"/>
    <col min="4621" max="4621" width="12" style="3" customWidth="1"/>
    <col min="4622" max="4865" width="9.140625" style="3"/>
    <col min="4866" max="4866" width="48.7109375" style="3" customWidth="1"/>
    <col min="4867" max="4867" width="16" style="3" customWidth="1"/>
    <col min="4868" max="4868" width="10.5703125" style="3" bestFit="1" customWidth="1"/>
    <col min="4869" max="4869" width="12.85546875" style="3" customWidth="1"/>
    <col min="4870" max="4876" width="14.42578125" style="3" customWidth="1"/>
    <col min="4877" max="4877" width="12" style="3" customWidth="1"/>
    <col min="4878" max="5121" width="9.140625" style="3"/>
    <col min="5122" max="5122" width="48.7109375" style="3" customWidth="1"/>
    <col min="5123" max="5123" width="16" style="3" customWidth="1"/>
    <col min="5124" max="5124" width="10.5703125" style="3" bestFit="1" customWidth="1"/>
    <col min="5125" max="5125" width="12.85546875" style="3" customWidth="1"/>
    <col min="5126" max="5132" width="14.42578125" style="3" customWidth="1"/>
    <col min="5133" max="5133" width="12" style="3" customWidth="1"/>
    <col min="5134" max="5377" width="9.140625" style="3"/>
    <col min="5378" max="5378" width="48.7109375" style="3" customWidth="1"/>
    <col min="5379" max="5379" width="16" style="3" customWidth="1"/>
    <col min="5380" max="5380" width="10.5703125" style="3" bestFit="1" customWidth="1"/>
    <col min="5381" max="5381" width="12.85546875" style="3" customWidth="1"/>
    <col min="5382" max="5388" width="14.42578125" style="3" customWidth="1"/>
    <col min="5389" max="5389" width="12" style="3" customWidth="1"/>
    <col min="5390" max="5633" width="9.140625" style="3"/>
    <col min="5634" max="5634" width="48.7109375" style="3" customWidth="1"/>
    <col min="5635" max="5635" width="16" style="3" customWidth="1"/>
    <col min="5636" max="5636" width="10.5703125" style="3" bestFit="1" customWidth="1"/>
    <col min="5637" max="5637" width="12.85546875" style="3" customWidth="1"/>
    <col min="5638" max="5644" width="14.42578125" style="3" customWidth="1"/>
    <col min="5645" max="5645" width="12" style="3" customWidth="1"/>
    <col min="5646" max="5889" width="9.140625" style="3"/>
    <col min="5890" max="5890" width="48.7109375" style="3" customWidth="1"/>
    <col min="5891" max="5891" width="16" style="3" customWidth="1"/>
    <col min="5892" max="5892" width="10.5703125" style="3" bestFit="1" customWidth="1"/>
    <col min="5893" max="5893" width="12.85546875" style="3" customWidth="1"/>
    <col min="5894" max="5900" width="14.42578125" style="3" customWidth="1"/>
    <col min="5901" max="5901" width="12" style="3" customWidth="1"/>
    <col min="5902" max="6145" width="9.140625" style="3"/>
    <col min="6146" max="6146" width="48.7109375" style="3" customWidth="1"/>
    <col min="6147" max="6147" width="16" style="3" customWidth="1"/>
    <col min="6148" max="6148" width="10.5703125" style="3" bestFit="1" customWidth="1"/>
    <col min="6149" max="6149" width="12.85546875" style="3" customWidth="1"/>
    <col min="6150" max="6156" width="14.42578125" style="3" customWidth="1"/>
    <col min="6157" max="6157" width="12" style="3" customWidth="1"/>
    <col min="6158" max="6401" width="9.140625" style="3"/>
    <col min="6402" max="6402" width="48.7109375" style="3" customWidth="1"/>
    <col min="6403" max="6403" width="16" style="3" customWidth="1"/>
    <col min="6404" max="6404" width="10.5703125" style="3" bestFit="1" customWidth="1"/>
    <col min="6405" max="6405" width="12.85546875" style="3" customWidth="1"/>
    <col min="6406" max="6412" width="14.42578125" style="3" customWidth="1"/>
    <col min="6413" max="6413" width="12" style="3" customWidth="1"/>
    <col min="6414" max="6657" width="9.140625" style="3"/>
    <col min="6658" max="6658" width="48.7109375" style="3" customWidth="1"/>
    <col min="6659" max="6659" width="16" style="3" customWidth="1"/>
    <col min="6660" max="6660" width="10.5703125" style="3" bestFit="1" customWidth="1"/>
    <col min="6661" max="6661" width="12.85546875" style="3" customWidth="1"/>
    <col min="6662" max="6668" width="14.42578125" style="3" customWidth="1"/>
    <col min="6669" max="6669" width="12" style="3" customWidth="1"/>
    <col min="6670" max="6913" width="9.140625" style="3"/>
    <col min="6914" max="6914" width="48.7109375" style="3" customWidth="1"/>
    <col min="6915" max="6915" width="16" style="3" customWidth="1"/>
    <col min="6916" max="6916" width="10.5703125" style="3" bestFit="1" customWidth="1"/>
    <col min="6917" max="6917" width="12.85546875" style="3" customWidth="1"/>
    <col min="6918" max="6924" width="14.42578125" style="3" customWidth="1"/>
    <col min="6925" max="6925" width="12" style="3" customWidth="1"/>
    <col min="6926" max="7169" width="9.140625" style="3"/>
    <col min="7170" max="7170" width="48.7109375" style="3" customWidth="1"/>
    <col min="7171" max="7171" width="16" style="3" customWidth="1"/>
    <col min="7172" max="7172" width="10.5703125" style="3" bestFit="1" customWidth="1"/>
    <col min="7173" max="7173" width="12.85546875" style="3" customWidth="1"/>
    <col min="7174" max="7180" width="14.42578125" style="3" customWidth="1"/>
    <col min="7181" max="7181" width="12" style="3" customWidth="1"/>
    <col min="7182" max="7425" width="9.140625" style="3"/>
    <col min="7426" max="7426" width="48.7109375" style="3" customWidth="1"/>
    <col min="7427" max="7427" width="16" style="3" customWidth="1"/>
    <col min="7428" max="7428" width="10.5703125" style="3" bestFit="1" customWidth="1"/>
    <col min="7429" max="7429" width="12.85546875" style="3" customWidth="1"/>
    <col min="7430" max="7436" width="14.42578125" style="3" customWidth="1"/>
    <col min="7437" max="7437" width="12" style="3" customWidth="1"/>
    <col min="7438" max="7681" width="9.140625" style="3"/>
    <col min="7682" max="7682" width="48.7109375" style="3" customWidth="1"/>
    <col min="7683" max="7683" width="16" style="3" customWidth="1"/>
    <col min="7684" max="7684" width="10.5703125" style="3" bestFit="1" customWidth="1"/>
    <col min="7685" max="7685" width="12.85546875" style="3" customWidth="1"/>
    <col min="7686" max="7692" width="14.42578125" style="3" customWidth="1"/>
    <col min="7693" max="7693" width="12" style="3" customWidth="1"/>
    <col min="7694" max="7937" width="9.140625" style="3"/>
    <col min="7938" max="7938" width="48.7109375" style="3" customWidth="1"/>
    <col min="7939" max="7939" width="16" style="3" customWidth="1"/>
    <col min="7940" max="7940" width="10.5703125" style="3" bestFit="1" customWidth="1"/>
    <col min="7941" max="7941" width="12.85546875" style="3" customWidth="1"/>
    <col min="7942" max="7948" width="14.42578125" style="3" customWidth="1"/>
    <col min="7949" max="7949" width="12" style="3" customWidth="1"/>
    <col min="7950" max="8193" width="9.140625" style="3"/>
    <col min="8194" max="8194" width="48.7109375" style="3" customWidth="1"/>
    <col min="8195" max="8195" width="16" style="3" customWidth="1"/>
    <col min="8196" max="8196" width="10.5703125" style="3" bestFit="1" customWidth="1"/>
    <col min="8197" max="8197" width="12.85546875" style="3" customWidth="1"/>
    <col min="8198" max="8204" width="14.42578125" style="3" customWidth="1"/>
    <col min="8205" max="8205" width="12" style="3" customWidth="1"/>
    <col min="8206" max="8449" width="9.140625" style="3"/>
    <col min="8450" max="8450" width="48.7109375" style="3" customWidth="1"/>
    <col min="8451" max="8451" width="16" style="3" customWidth="1"/>
    <col min="8452" max="8452" width="10.5703125" style="3" bestFit="1" customWidth="1"/>
    <col min="8453" max="8453" width="12.85546875" style="3" customWidth="1"/>
    <col min="8454" max="8460" width="14.42578125" style="3" customWidth="1"/>
    <col min="8461" max="8461" width="12" style="3" customWidth="1"/>
    <col min="8462" max="8705" width="9.140625" style="3"/>
    <col min="8706" max="8706" width="48.7109375" style="3" customWidth="1"/>
    <col min="8707" max="8707" width="16" style="3" customWidth="1"/>
    <col min="8708" max="8708" width="10.5703125" style="3" bestFit="1" customWidth="1"/>
    <col min="8709" max="8709" width="12.85546875" style="3" customWidth="1"/>
    <col min="8710" max="8716" width="14.42578125" style="3" customWidth="1"/>
    <col min="8717" max="8717" width="12" style="3" customWidth="1"/>
    <col min="8718" max="8961" width="9.140625" style="3"/>
    <col min="8962" max="8962" width="48.7109375" style="3" customWidth="1"/>
    <col min="8963" max="8963" width="16" style="3" customWidth="1"/>
    <col min="8964" max="8964" width="10.5703125" style="3" bestFit="1" customWidth="1"/>
    <col min="8965" max="8965" width="12.85546875" style="3" customWidth="1"/>
    <col min="8966" max="8972" width="14.42578125" style="3" customWidth="1"/>
    <col min="8973" max="8973" width="12" style="3" customWidth="1"/>
    <col min="8974" max="9217" width="9.140625" style="3"/>
    <col min="9218" max="9218" width="48.7109375" style="3" customWidth="1"/>
    <col min="9219" max="9219" width="16" style="3" customWidth="1"/>
    <col min="9220" max="9220" width="10.5703125" style="3" bestFit="1" customWidth="1"/>
    <col min="9221" max="9221" width="12.85546875" style="3" customWidth="1"/>
    <col min="9222" max="9228" width="14.42578125" style="3" customWidth="1"/>
    <col min="9229" max="9229" width="12" style="3" customWidth="1"/>
    <col min="9230" max="9473" width="9.140625" style="3"/>
    <col min="9474" max="9474" width="48.7109375" style="3" customWidth="1"/>
    <col min="9475" max="9475" width="16" style="3" customWidth="1"/>
    <col min="9476" max="9476" width="10.5703125" style="3" bestFit="1" customWidth="1"/>
    <col min="9477" max="9477" width="12.85546875" style="3" customWidth="1"/>
    <col min="9478" max="9484" width="14.42578125" style="3" customWidth="1"/>
    <col min="9485" max="9485" width="12" style="3" customWidth="1"/>
    <col min="9486" max="9729" width="9.140625" style="3"/>
    <col min="9730" max="9730" width="48.7109375" style="3" customWidth="1"/>
    <col min="9731" max="9731" width="16" style="3" customWidth="1"/>
    <col min="9732" max="9732" width="10.5703125" style="3" bestFit="1" customWidth="1"/>
    <col min="9733" max="9733" width="12.85546875" style="3" customWidth="1"/>
    <col min="9734" max="9740" width="14.42578125" style="3" customWidth="1"/>
    <col min="9741" max="9741" width="12" style="3" customWidth="1"/>
    <col min="9742" max="9985" width="9.140625" style="3"/>
    <col min="9986" max="9986" width="48.7109375" style="3" customWidth="1"/>
    <col min="9987" max="9987" width="16" style="3" customWidth="1"/>
    <col min="9988" max="9988" width="10.5703125" style="3" bestFit="1" customWidth="1"/>
    <col min="9989" max="9989" width="12.85546875" style="3" customWidth="1"/>
    <col min="9990" max="9996" width="14.42578125" style="3" customWidth="1"/>
    <col min="9997" max="9997" width="12" style="3" customWidth="1"/>
    <col min="9998" max="10241" width="9.140625" style="3"/>
    <col min="10242" max="10242" width="48.7109375" style="3" customWidth="1"/>
    <col min="10243" max="10243" width="16" style="3" customWidth="1"/>
    <col min="10244" max="10244" width="10.5703125" style="3" bestFit="1" customWidth="1"/>
    <col min="10245" max="10245" width="12.85546875" style="3" customWidth="1"/>
    <col min="10246" max="10252" width="14.42578125" style="3" customWidth="1"/>
    <col min="10253" max="10253" width="12" style="3" customWidth="1"/>
    <col min="10254" max="10497" width="9.140625" style="3"/>
    <col min="10498" max="10498" width="48.7109375" style="3" customWidth="1"/>
    <col min="10499" max="10499" width="16" style="3" customWidth="1"/>
    <col min="10500" max="10500" width="10.5703125" style="3" bestFit="1" customWidth="1"/>
    <col min="10501" max="10501" width="12.85546875" style="3" customWidth="1"/>
    <col min="10502" max="10508" width="14.42578125" style="3" customWidth="1"/>
    <col min="10509" max="10509" width="12" style="3" customWidth="1"/>
    <col min="10510" max="10753" width="9.140625" style="3"/>
    <col min="10754" max="10754" width="48.7109375" style="3" customWidth="1"/>
    <col min="10755" max="10755" width="16" style="3" customWidth="1"/>
    <col min="10756" max="10756" width="10.5703125" style="3" bestFit="1" customWidth="1"/>
    <col min="10757" max="10757" width="12.85546875" style="3" customWidth="1"/>
    <col min="10758" max="10764" width="14.42578125" style="3" customWidth="1"/>
    <col min="10765" max="10765" width="12" style="3" customWidth="1"/>
    <col min="10766" max="11009" width="9.140625" style="3"/>
    <col min="11010" max="11010" width="48.7109375" style="3" customWidth="1"/>
    <col min="11011" max="11011" width="16" style="3" customWidth="1"/>
    <col min="11012" max="11012" width="10.5703125" style="3" bestFit="1" customWidth="1"/>
    <col min="11013" max="11013" width="12.85546875" style="3" customWidth="1"/>
    <col min="11014" max="11020" width="14.42578125" style="3" customWidth="1"/>
    <col min="11021" max="11021" width="12" style="3" customWidth="1"/>
    <col min="11022" max="11265" width="9.140625" style="3"/>
    <col min="11266" max="11266" width="48.7109375" style="3" customWidth="1"/>
    <col min="11267" max="11267" width="16" style="3" customWidth="1"/>
    <col min="11268" max="11268" width="10.5703125" style="3" bestFit="1" customWidth="1"/>
    <col min="11269" max="11269" width="12.85546875" style="3" customWidth="1"/>
    <col min="11270" max="11276" width="14.42578125" style="3" customWidth="1"/>
    <col min="11277" max="11277" width="12" style="3" customWidth="1"/>
    <col min="11278" max="11521" width="9.140625" style="3"/>
    <col min="11522" max="11522" width="48.7109375" style="3" customWidth="1"/>
    <col min="11523" max="11523" width="16" style="3" customWidth="1"/>
    <col min="11524" max="11524" width="10.5703125" style="3" bestFit="1" customWidth="1"/>
    <col min="11525" max="11525" width="12.85546875" style="3" customWidth="1"/>
    <col min="11526" max="11532" width="14.42578125" style="3" customWidth="1"/>
    <col min="11533" max="11533" width="12" style="3" customWidth="1"/>
    <col min="11534" max="11777" width="9.140625" style="3"/>
    <col min="11778" max="11778" width="48.7109375" style="3" customWidth="1"/>
    <col min="11779" max="11779" width="16" style="3" customWidth="1"/>
    <col min="11780" max="11780" width="10.5703125" style="3" bestFit="1" customWidth="1"/>
    <col min="11781" max="11781" width="12.85546875" style="3" customWidth="1"/>
    <col min="11782" max="11788" width="14.42578125" style="3" customWidth="1"/>
    <col min="11789" max="11789" width="12" style="3" customWidth="1"/>
    <col min="11790" max="12033" width="9.140625" style="3"/>
    <col min="12034" max="12034" width="48.7109375" style="3" customWidth="1"/>
    <col min="12035" max="12035" width="16" style="3" customWidth="1"/>
    <col min="12036" max="12036" width="10.5703125" style="3" bestFit="1" customWidth="1"/>
    <col min="12037" max="12037" width="12.85546875" style="3" customWidth="1"/>
    <col min="12038" max="12044" width="14.42578125" style="3" customWidth="1"/>
    <col min="12045" max="12045" width="12" style="3" customWidth="1"/>
    <col min="12046" max="12289" width="9.140625" style="3"/>
    <col min="12290" max="12290" width="48.7109375" style="3" customWidth="1"/>
    <col min="12291" max="12291" width="16" style="3" customWidth="1"/>
    <col min="12292" max="12292" width="10.5703125" style="3" bestFit="1" customWidth="1"/>
    <col min="12293" max="12293" width="12.85546875" style="3" customWidth="1"/>
    <col min="12294" max="12300" width="14.42578125" style="3" customWidth="1"/>
    <col min="12301" max="12301" width="12" style="3" customWidth="1"/>
    <col min="12302" max="12545" width="9.140625" style="3"/>
    <col min="12546" max="12546" width="48.7109375" style="3" customWidth="1"/>
    <col min="12547" max="12547" width="16" style="3" customWidth="1"/>
    <col min="12548" max="12548" width="10.5703125" style="3" bestFit="1" customWidth="1"/>
    <col min="12549" max="12549" width="12.85546875" style="3" customWidth="1"/>
    <col min="12550" max="12556" width="14.42578125" style="3" customWidth="1"/>
    <col min="12557" max="12557" width="12" style="3" customWidth="1"/>
    <col min="12558" max="12801" width="9.140625" style="3"/>
    <col min="12802" max="12802" width="48.7109375" style="3" customWidth="1"/>
    <col min="12803" max="12803" width="16" style="3" customWidth="1"/>
    <col min="12804" max="12804" width="10.5703125" style="3" bestFit="1" customWidth="1"/>
    <col min="12805" max="12805" width="12.85546875" style="3" customWidth="1"/>
    <col min="12806" max="12812" width="14.42578125" style="3" customWidth="1"/>
    <col min="12813" max="12813" width="12" style="3" customWidth="1"/>
    <col min="12814" max="13057" width="9.140625" style="3"/>
    <col min="13058" max="13058" width="48.7109375" style="3" customWidth="1"/>
    <col min="13059" max="13059" width="16" style="3" customWidth="1"/>
    <col min="13060" max="13060" width="10.5703125" style="3" bestFit="1" customWidth="1"/>
    <col min="13061" max="13061" width="12.85546875" style="3" customWidth="1"/>
    <col min="13062" max="13068" width="14.42578125" style="3" customWidth="1"/>
    <col min="13069" max="13069" width="12" style="3" customWidth="1"/>
    <col min="13070" max="13313" width="9.140625" style="3"/>
    <col min="13314" max="13314" width="48.7109375" style="3" customWidth="1"/>
    <col min="13315" max="13315" width="16" style="3" customWidth="1"/>
    <col min="13316" max="13316" width="10.5703125" style="3" bestFit="1" customWidth="1"/>
    <col min="13317" max="13317" width="12.85546875" style="3" customWidth="1"/>
    <col min="13318" max="13324" width="14.42578125" style="3" customWidth="1"/>
    <col min="13325" max="13325" width="12" style="3" customWidth="1"/>
    <col min="13326" max="13569" width="9.140625" style="3"/>
    <col min="13570" max="13570" width="48.7109375" style="3" customWidth="1"/>
    <col min="13571" max="13571" width="16" style="3" customWidth="1"/>
    <col min="13572" max="13572" width="10.5703125" style="3" bestFit="1" customWidth="1"/>
    <col min="13573" max="13573" width="12.85546875" style="3" customWidth="1"/>
    <col min="13574" max="13580" width="14.42578125" style="3" customWidth="1"/>
    <col min="13581" max="13581" width="12" style="3" customWidth="1"/>
    <col min="13582" max="13825" width="9.140625" style="3"/>
    <col min="13826" max="13826" width="48.7109375" style="3" customWidth="1"/>
    <col min="13827" max="13827" width="16" style="3" customWidth="1"/>
    <col min="13828" max="13828" width="10.5703125" style="3" bestFit="1" customWidth="1"/>
    <col min="13829" max="13829" width="12.85546875" style="3" customWidth="1"/>
    <col min="13830" max="13836" width="14.42578125" style="3" customWidth="1"/>
    <col min="13837" max="13837" width="12" style="3" customWidth="1"/>
    <col min="13838" max="14081" width="9.140625" style="3"/>
    <col min="14082" max="14082" width="48.7109375" style="3" customWidth="1"/>
    <col min="14083" max="14083" width="16" style="3" customWidth="1"/>
    <col min="14084" max="14084" width="10.5703125" style="3" bestFit="1" customWidth="1"/>
    <col min="14085" max="14085" width="12.85546875" style="3" customWidth="1"/>
    <col min="14086" max="14092" width="14.42578125" style="3" customWidth="1"/>
    <col min="14093" max="14093" width="12" style="3" customWidth="1"/>
    <col min="14094" max="14337" width="9.140625" style="3"/>
    <col min="14338" max="14338" width="48.7109375" style="3" customWidth="1"/>
    <col min="14339" max="14339" width="16" style="3" customWidth="1"/>
    <col min="14340" max="14340" width="10.5703125" style="3" bestFit="1" customWidth="1"/>
    <col min="14341" max="14341" width="12.85546875" style="3" customWidth="1"/>
    <col min="14342" max="14348" width="14.42578125" style="3" customWidth="1"/>
    <col min="14349" max="14349" width="12" style="3" customWidth="1"/>
    <col min="14350" max="14593" width="9.140625" style="3"/>
    <col min="14594" max="14594" width="48.7109375" style="3" customWidth="1"/>
    <col min="14595" max="14595" width="16" style="3" customWidth="1"/>
    <col min="14596" max="14596" width="10.5703125" style="3" bestFit="1" customWidth="1"/>
    <col min="14597" max="14597" width="12.85546875" style="3" customWidth="1"/>
    <col min="14598" max="14604" width="14.42578125" style="3" customWidth="1"/>
    <col min="14605" max="14605" width="12" style="3" customWidth="1"/>
    <col min="14606" max="14849" width="9.140625" style="3"/>
    <col min="14850" max="14850" width="48.7109375" style="3" customWidth="1"/>
    <col min="14851" max="14851" width="16" style="3" customWidth="1"/>
    <col min="14852" max="14852" width="10.5703125" style="3" bestFit="1" customWidth="1"/>
    <col min="14853" max="14853" width="12.85546875" style="3" customWidth="1"/>
    <col min="14854" max="14860" width="14.42578125" style="3" customWidth="1"/>
    <col min="14861" max="14861" width="12" style="3" customWidth="1"/>
    <col min="14862" max="15105" width="9.140625" style="3"/>
    <col min="15106" max="15106" width="48.7109375" style="3" customWidth="1"/>
    <col min="15107" max="15107" width="16" style="3" customWidth="1"/>
    <col min="15108" max="15108" width="10.5703125" style="3" bestFit="1" customWidth="1"/>
    <col min="15109" max="15109" width="12.85546875" style="3" customWidth="1"/>
    <col min="15110" max="15116" width="14.42578125" style="3" customWidth="1"/>
    <col min="15117" max="15117" width="12" style="3" customWidth="1"/>
    <col min="15118" max="15361" width="9.140625" style="3"/>
    <col min="15362" max="15362" width="48.7109375" style="3" customWidth="1"/>
    <col min="15363" max="15363" width="16" style="3" customWidth="1"/>
    <col min="15364" max="15364" width="10.5703125" style="3" bestFit="1" customWidth="1"/>
    <col min="15365" max="15365" width="12.85546875" style="3" customWidth="1"/>
    <col min="15366" max="15372" width="14.42578125" style="3" customWidth="1"/>
    <col min="15373" max="15373" width="12" style="3" customWidth="1"/>
    <col min="15374" max="15617" width="9.140625" style="3"/>
    <col min="15618" max="15618" width="48.7109375" style="3" customWidth="1"/>
    <col min="15619" max="15619" width="16" style="3" customWidth="1"/>
    <col min="15620" max="15620" width="10.5703125" style="3" bestFit="1" customWidth="1"/>
    <col min="15621" max="15621" width="12.85546875" style="3" customWidth="1"/>
    <col min="15622" max="15628" width="14.42578125" style="3" customWidth="1"/>
    <col min="15629" max="15629" width="12" style="3" customWidth="1"/>
    <col min="15630" max="15873" width="9.140625" style="3"/>
    <col min="15874" max="15874" width="48.7109375" style="3" customWidth="1"/>
    <col min="15875" max="15875" width="16" style="3" customWidth="1"/>
    <col min="15876" max="15876" width="10.5703125" style="3" bestFit="1" customWidth="1"/>
    <col min="15877" max="15877" width="12.85546875" style="3" customWidth="1"/>
    <col min="15878" max="15884" width="14.42578125" style="3" customWidth="1"/>
    <col min="15885" max="15885" width="12" style="3" customWidth="1"/>
    <col min="15886" max="16129" width="9.140625" style="3"/>
    <col min="16130" max="16130" width="48.7109375" style="3" customWidth="1"/>
    <col min="16131" max="16131" width="16" style="3" customWidth="1"/>
    <col min="16132" max="16132" width="10.5703125" style="3" bestFit="1" customWidth="1"/>
    <col min="16133" max="16133" width="12.85546875" style="3" customWidth="1"/>
    <col min="16134" max="16140" width="14.42578125" style="3" customWidth="1"/>
    <col min="16141" max="16141" width="12" style="3" customWidth="1"/>
    <col min="16142" max="16384" width="9.140625" style="3"/>
  </cols>
  <sheetData>
    <row r="1" spans="1:14" s="1" customFormat="1" ht="16.5" customHeight="1">
      <c r="A1" s="51" t="str">
        <f>+'II - ORÇAMENTO'!A1</f>
        <v>PROPONENTE: PREFEITURA MUNICIPAL DE DOM PEDRO-MA</v>
      </c>
      <c r="B1" s="52"/>
      <c r="C1" s="52"/>
      <c r="D1" s="53"/>
      <c r="E1" s="54"/>
      <c r="F1" s="55"/>
      <c r="G1" s="70"/>
      <c r="H1" s="70"/>
      <c r="I1" s="70"/>
      <c r="J1" s="70"/>
      <c r="K1" s="70"/>
      <c r="L1" s="70"/>
      <c r="M1" s="70"/>
      <c r="N1" s="71"/>
    </row>
    <row r="2" spans="1:14" s="1" customFormat="1" ht="16.5" customHeight="1">
      <c r="A2" s="56" t="str">
        <f>+'II - ORÇAMENTO'!A2</f>
        <v>OBRA:  ESCOLA 6 SALAS - CENTRO DO PRIMO (31905)</v>
      </c>
      <c r="B2" s="57"/>
      <c r="C2" s="57"/>
      <c r="D2" s="58"/>
      <c r="E2" s="59"/>
      <c r="F2" s="60"/>
      <c r="G2" s="72"/>
      <c r="H2" s="72"/>
      <c r="I2" s="72"/>
      <c r="J2" s="72"/>
      <c r="K2" s="72"/>
      <c r="L2" s="72"/>
      <c r="M2" s="72"/>
      <c r="N2" s="73"/>
    </row>
    <row r="3" spans="1:14" s="1" customFormat="1" ht="16.5" customHeight="1">
      <c r="A3" s="56" t="str">
        <f>+'II - ORÇAMENTO'!A3</f>
        <v>LOCAL: POVOADO CENTRO DO PRIMO, DOM PEDRO-MA</v>
      </c>
      <c r="B3" s="57"/>
      <c r="C3" s="57"/>
      <c r="D3" s="58"/>
      <c r="E3" s="59"/>
      <c r="F3" s="61" t="s">
        <v>32</v>
      </c>
      <c r="G3" s="72"/>
      <c r="H3" s="72"/>
      <c r="I3" s="72"/>
      <c r="J3" s="72"/>
      <c r="K3" s="72"/>
      <c r="L3" s="72"/>
      <c r="M3" s="72"/>
      <c r="N3" s="73"/>
    </row>
    <row r="4" spans="1:14" s="1" customFormat="1" ht="16.5" customHeight="1">
      <c r="A4" s="62" t="str">
        <f>+'II - ORÇAMENTO'!A4</f>
        <v>REF. SINAPI 03/22 (SEM DESONERAÇÃO) MARANHÃO - ORSE 02/22 - SEINFRA 027</v>
      </c>
      <c r="B4" s="57"/>
      <c r="C4" s="57"/>
      <c r="D4" s="58"/>
      <c r="E4" s="59"/>
      <c r="F4" s="61"/>
      <c r="G4" s="72"/>
      <c r="H4" s="72"/>
      <c r="I4" s="72"/>
      <c r="J4" s="72"/>
      <c r="K4" s="72"/>
      <c r="L4" s="72"/>
      <c r="M4" s="72"/>
      <c r="N4" s="73"/>
    </row>
    <row r="5" spans="1:14" s="1" customFormat="1" ht="16.5" customHeight="1">
      <c r="A5" s="66" t="str">
        <f>+'II - ORÇAMENTO'!A5</f>
        <v xml:space="preserve">ENCARGOS SOCIAIS SOBRE PREÇO DE MÃO-DE-OBRA: 112,90% (HORA)  </v>
      </c>
      <c r="B5" s="67"/>
      <c r="C5" s="67"/>
      <c r="D5" s="67"/>
      <c r="E5" s="68" t="s">
        <v>33</v>
      </c>
      <c r="F5" s="69">
        <v>0.25</v>
      </c>
      <c r="G5" s="74"/>
      <c r="H5" s="74"/>
      <c r="I5" s="74"/>
      <c r="J5" s="74"/>
      <c r="K5" s="74"/>
      <c r="L5" s="74"/>
      <c r="M5" s="74"/>
      <c r="N5" s="75"/>
    </row>
    <row r="6" spans="1:14" s="1" customFormat="1" ht="16.5" customHeight="1" thickBot="1">
      <c r="A6" s="62"/>
      <c r="B6" s="63"/>
      <c r="C6" s="63"/>
      <c r="D6" s="63"/>
      <c r="E6" s="64"/>
      <c r="F6" s="65"/>
      <c r="G6" s="72"/>
      <c r="H6" s="72"/>
      <c r="I6" s="72"/>
      <c r="J6" s="72"/>
      <c r="K6" s="72"/>
      <c r="L6" s="72"/>
      <c r="M6" s="72"/>
      <c r="N6" s="73"/>
    </row>
    <row r="7" spans="1:14" s="4" customFormat="1" ht="13.5" thickBot="1">
      <c r="A7" s="350" t="s">
        <v>31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2"/>
    </row>
    <row r="8" spans="1:14" ht="13.5" thickBot="1">
      <c r="A8" s="318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319"/>
    </row>
    <row r="9" spans="1:14" ht="13.5" thickBot="1">
      <c r="A9" s="5" t="s">
        <v>0</v>
      </c>
      <c r="B9" s="5" t="s">
        <v>15</v>
      </c>
      <c r="C9" s="5" t="s">
        <v>16</v>
      </c>
      <c r="D9" s="5" t="s">
        <v>19</v>
      </c>
      <c r="E9" s="5">
        <v>1</v>
      </c>
      <c r="F9" s="5">
        <v>2</v>
      </c>
      <c r="G9" s="5">
        <v>3</v>
      </c>
      <c r="H9" s="5">
        <v>4</v>
      </c>
      <c r="I9" s="5">
        <v>5</v>
      </c>
      <c r="J9" s="5">
        <v>6</v>
      </c>
      <c r="K9" s="5">
        <v>7</v>
      </c>
      <c r="L9" s="6">
        <v>8</v>
      </c>
      <c r="M9" s="5">
        <v>9</v>
      </c>
      <c r="N9" s="320">
        <v>10</v>
      </c>
    </row>
    <row r="10" spans="1:14">
      <c r="A10" s="8"/>
      <c r="B10" s="7"/>
      <c r="C10" s="7"/>
      <c r="D10" s="7"/>
      <c r="E10" s="8"/>
      <c r="F10" s="8"/>
      <c r="G10" s="8"/>
      <c r="H10" s="8"/>
      <c r="I10" s="8"/>
      <c r="J10" s="8"/>
      <c r="K10" s="9"/>
      <c r="L10" s="8"/>
      <c r="M10" s="8"/>
      <c r="N10" s="8"/>
    </row>
    <row r="11" spans="1:14" hidden="1">
      <c r="A11" s="321">
        <v>1</v>
      </c>
      <c r="B11" s="171" t="e">
        <f>VLOOKUP(A11,'II - ORÇAMENTO'!$A$137:$I$256,2,FALSE)</f>
        <v>#N/A</v>
      </c>
      <c r="C11" s="10" t="e">
        <f>+'II - ORÇAMENTO'!#REF!</f>
        <v>#REF!</v>
      </c>
      <c r="D11" s="11" t="e">
        <f>C11/C90</f>
        <v>#REF!</v>
      </c>
      <c r="E11" s="12">
        <v>1</v>
      </c>
      <c r="F11" s="13"/>
      <c r="G11" s="14"/>
      <c r="H11" s="14"/>
      <c r="I11" s="14"/>
      <c r="J11" s="14"/>
      <c r="K11" s="15"/>
      <c r="L11" s="14"/>
      <c r="M11" s="16"/>
      <c r="N11" s="14"/>
    </row>
    <row r="12" spans="1:14" hidden="1">
      <c r="A12" s="321"/>
      <c r="B12" s="17"/>
      <c r="C12" s="10"/>
      <c r="D12" s="18"/>
      <c r="E12" s="19" t="e">
        <f>C11*E11</f>
        <v>#REF!</v>
      </c>
      <c r="F12" s="19"/>
      <c r="G12" s="14"/>
      <c r="H12" s="14"/>
      <c r="I12" s="14"/>
      <c r="J12" s="14"/>
      <c r="K12" s="15"/>
      <c r="L12" s="14"/>
      <c r="M12" s="16"/>
      <c r="N12" s="14"/>
    </row>
    <row r="13" spans="1:14" hidden="1">
      <c r="A13" s="321">
        <v>2</v>
      </c>
      <c r="B13" s="171" t="e">
        <f>VLOOKUP(A13,'II - ORÇAMENTO'!$A$137:$I$256,2,FALSE)</f>
        <v>#N/A</v>
      </c>
      <c r="C13" s="10" t="e">
        <f>+'II - ORÇAMENTO'!#REF!</f>
        <v>#REF!</v>
      </c>
      <c r="D13" s="11" t="e">
        <f>C13/C90</f>
        <v>#REF!</v>
      </c>
      <c r="E13" s="20">
        <v>0.15</v>
      </c>
      <c r="F13" s="20">
        <v>0.85</v>
      </c>
      <c r="G13" s="13"/>
      <c r="H13" s="14"/>
      <c r="I13" s="14"/>
      <c r="J13" s="14"/>
      <c r="K13" s="15"/>
      <c r="L13" s="14"/>
      <c r="M13" s="16"/>
      <c r="N13" s="14"/>
    </row>
    <row r="14" spans="1:14" hidden="1">
      <c r="A14" s="321"/>
      <c r="B14" s="17"/>
      <c r="C14" s="10"/>
      <c r="D14" s="11"/>
      <c r="E14" s="19" t="e">
        <f>$C13*E13</f>
        <v>#REF!</v>
      </c>
      <c r="F14" s="19" t="e">
        <f>$C13*F13</f>
        <v>#REF!</v>
      </c>
      <c r="G14" s="19"/>
      <c r="H14" s="14"/>
      <c r="I14" s="14"/>
      <c r="J14" s="14"/>
      <c r="K14" s="15"/>
      <c r="L14" s="14"/>
      <c r="M14" s="16"/>
      <c r="N14" s="14"/>
    </row>
    <row r="15" spans="1:14" hidden="1">
      <c r="A15" s="321">
        <v>3</v>
      </c>
      <c r="B15" s="171" t="e">
        <f>VLOOKUP(A15,'II - ORÇAMENTO'!$A$137:$I$256,2,FALSE)</f>
        <v>#N/A</v>
      </c>
      <c r="C15" s="10" t="e">
        <f>+'II - ORÇAMENTO'!#REF!</f>
        <v>#REF!</v>
      </c>
      <c r="D15" s="11" t="e">
        <f>C15/C90</f>
        <v>#REF!</v>
      </c>
      <c r="E15" s="21"/>
      <c r="F15" s="20">
        <v>0.7</v>
      </c>
      <c r="G15" s="20">
        <v>0.3</v>
      </c>
      <c r="H15" s="14"/>
      <c r="I15" s="14"/>
      <c r="J15" s="14"/>
      <c r="K15" s="15"/>
      <c r="L15" s="14"/>
      <c r="M15" s="16"/>
      <c r="N15" s="14"/>
    </row>
    <row r="16" spans="1:14" hidden="1">
      <c r="A16" s="321"/>
      <c r="B16" s="17"/>
      <c r="C16" s="10"/>
      <c r="D16" s="11"/>
      <c r="E16" s="19"/>
      <c r="F16" s="19" t="e">
        <f>C15*F15</f>
        <v>#REF!</v>
      </c>
      <c r="G16" s="19" t="e">
        <f>C15*G15</f>
        <v>#REF!</v>
      </c>
      <c r="H16" s="14"/>
      <c r="I16" s="14"/>
      <c r="J16" s="14"/>
      <c r="K16" s="15"/>
      <c r="L16" s="14"/>
      <c r="M16" s="16"/>
      <c r="N16" s="14"/>
    </row>
    <row r="17" spans="1:18" hidden="1">
      <c r="A17" s="321">
        <v>4</v>
      </c>
      <c r="B17" s="171" t="e">
        <f>VLOOKUP(A17,'II - ORÇAMENTO'!$A$137:$I$256,2,FALSE)</f>
        <v>#N/A</v>
      </c>
      <c r="C17" s="10" t="e">
        <f>+'II - ORÇAMENTO'!#REF!</f>
        <v>#REF!</v>
      </c>
      <c r="D17" s="11" t="e">
        <f>C17/C90</f>
        <v>#REF!</v>
      </c>
      <c r="E17" s="14"/>
      <c r="F17" s="20">
        <v>0.1</v>
      </c>
      <c r="G17" s="20">
        <v>0.7</v>
      </c>
      <c r="H17" s="20">
        <v>0.2</v>
      </c>
      <c r="I17" s="22"/>
      <c r="J17" s="22"/>
      <c r="K17" s="23"/>
      <c r="L17" s="24"/>
      <c r="M17" s="16"/>
      <c r="N17" s="14"/>
    </row>
    <row r="18" spans="1:18" hidden="1">
      <c r="A18" s="321"/>
      <c r="B18" s="17"/>
      <c r="C18" s="10"/>
      <c r="D18" s="11"/>
      <c r="E18" s="14"/>
      <c r="F18" s="19" t="e">
        <f>C17*F17</f>
        <v>#REF!</v>
      </c>
      <c r="G18" s="19" t="e">
        <f>C17*G17</f>
        <v>#REF!</v>
      </c>
      <c r="H18" s="19" t="e">
        <f>C17*H17</f>
        <v>#REF!</v>
      </c>
      <c r="I18" s="19"/>
      <c r="J18" s="19"/>
      <c r="K18" s="15"/>
      <c r="L18" s="14"/>
      <c r="M18" s="16"/>
      <c r="N18" s="14"/>
    </row>
    <row r="19" spans="1:18">
      <c r="A19" s="322" t="str">
        <f>'I - RESUMO'!A10</f>
        <v>5</v>
      </c>
      <c r="B19" s="273" t="str">
        <f>'I - RESUMO'!B10</f>
        <v>INSTALAÇÕES HIDRO-SANITÁRIAS</v>
      </c>
      <c r="C19" s="10">
        <f>'I - RESUMO'!G10</f>
        <v>93984.675000000017</v>
      </c>
      <c r="D19" s="11">
        <f>C19/C90</f>
        <v>0.27199183849290842</v>
      </c>
      <c r="E19" s="20">
        <v>0.6</v>
      </c>
      <c r="F19" s="20">
        <v>0.4</v>
      </c>
      <c r="G19" s="20"/>
      <c r="H19" s="20">
        <v>0.4</v>
      </c>
      <c r="I19" s="20">
        <v>0.45</v>
      </c>
      <c r="J19" s="25"/>
      <c r="K19" s="25"/>
      <c r="L19" s="14"/>
      <c r="M19" s="16"/>
      <c r="N19" s="14"/>
      <c r="P19" s="278">
        <f>+SUM(E19:G19)</f>
        <v>1</v>
      </c>
    </row>
    <row r="20" spans="1:18">
      <c r="A20" s="321"/>
      <c r="B20" s="17"/>
      <c r="C20" s="10"/>
      <c r="D20" s="11"/>
      <c r="E20" s="19">
        <f>$C19*E19</f>
        <v>56390.805000000008</v>
      </c>
      <c r="F20" s="19">
        <f>$C19*F19</f>
        <v>37593.87000000001</v>
      </c>
      <c r="G20" s="19">
        <f t="shared" ref="G20:I20" si="0">$C19*G19</f>
        <v>0</v>
      </c>
      <c r="H20" s="19">
        <f t="shared" si="0"/>
        <v>37593.87000000001</v>
      </c>
      <c r="I20" s="19">
        <f t="shared" si="0"/>
        <v>42293.103750000009</v>
      </c>
      <c r="J20" s="19"/>
      <c r="K20" s="26"/>
      <c r="L20" s="14"/>
      <c r="M20" s="16"/>
      <c r="N20" s="14"/>
      <c r="R20" s="279">
        <f>SUM(E20:G20)</f>
        <v>93984.675000000017</v>
      </c>
    </row>
    <row r="21" spans="1:18">
      <c r="A21" s="323">
        <f>'I - RESUMO'!A12</f>
        <v>6</v>
      </c>
      <c r="B21" s="273" t="str">
        <f>'I - RESUMO'!B12</f>
        <v>INSTALAÇÕES ELÉTRICAS E TELEFÔNICAS (380/220V)</v>
      </c>
      <c r="C21" s="10">
        <f>'I - RESUMO'!G12</f>
        <v>68273.353125000009</v>
      </c>
      <c r="D21" s="11">
        <f>C21/C90</f>
        <v>0.19758322127032202</v>
      </c>
      <c r="E21" s="20">
        <v>0.4</v>
      </c>
      <c r="F21" s="20">
        <v>0.4</v>
      </c>
      <c r="G21" s="20">
        <v>0.2</v>
      </c>
      <c r="H21" s="25"/>
      <c r="I21" s="20">
        <v>0.1</v>
      </c>
      <c r="J21" s="20">
        <v>0.4</v>
      </c>
      <c r="K21" s="27">
        <v>0.3</v>
      </c>
      <c r="L21" s="20">
        <v>0.2</v>
      </c>
      <c r="M21" s="16"/>
      <c r="N21" s="14"/>
      <c r="P21" s="278">
        <f>+SUM(E21:G21)</f>
        <v>1</v>
      </c>
    </row>
    <row r="22" spans="1:18">
      <c r="A22" s="321"/>
      <c r="B22" s="17"/>
      <c r="C22" s="10"/>
      <c r="D22" s="11"/>
      <c r="E22" s="19">
        <f t="shared" ref="E22:L22" si="1">$C21*E21</f>
        <v>27309.341250000005</v>
      </c>
      <c r="F22" s="19">
        <f t="shared" si="1"/>
        <v>27309.341250000005</v>
      </c>
      <c r="G22" s="19">
        <f t="shared" si="1"/>
        <v>13654.670625000002</v>
      </c>
      <c r="H22" s="19">
        <f t="shared" si="1"/>
        <v>0</v>
      </c>
      <c r="I22" s="19">
        <f t="shared" si="1"/>
        <v>6827.3353125000012</v>
      </c>
      <c r="J22" s="19">
        <f t="shared" si="1"/>
        <v>27309.341250000005</v>
      </c>
      <c r="K22" s="26">
        <f t="shared" si="1"/>
        <v>20482.005937500002</v>
      </c>
      <c r="L22" s="19">
        <f t="shared" si="1"/>
        <v>13654.670625000002</v>
      </c>
      <c r="M22" s="28"/>
      <c r="N22" s="14"/>
      <c r="P22" s="278"/>
      <c r="R22" s="279">
        <f t="shared" ref="R22" si="2">SUM(E22:G22)</f>
        <v>68273.353125000009</v>
      </c>
    </row>
    <row r="23" spans="1:18">
      <c r="A23" s="323">
        <f>'I - RESUMO'!A14</f>
        <v>7</v>
      </c>
      <c r="B23" s="273" t="str">
        <f>'I - RESUMO'!B14</f>
        <v>PAREDES E PAÍNES</v>
      </c>
      <c r="C23" s="10">
        <f>'I - RESUMO'!G14</f>
        <v>9701.6543499999989</v>
      </c>
      <c r="D23" s="11">
        <f>C23/C90</f>
        <v>2.8076607203027744E-2</v>
      </c>
      <c r="E23" s="20">
        <v>0.35</v>
      </c>
      <c r="F23" s="20">
        <v>0.45</v>
      </c>
      <c r="G23" s="20">
        <v>0.2</v>
      </c>
      <c r="H23" s="20">
        <v>0.35</v>
      </c>
      <c r="I23" s="20">
        <v>0.25</v>
      </c>
      <c r="J23" s="20">
        <v>0.15</v>
      </c>
      <c r="K23" s="29"/>
      <c r="L23" s="22"/>
      <c r="M23" s="16"/>
      <c r="N23" s="14"/>
      <c r="P23" s="278">
        <f>+SUM(E23:G23)</f>
        <v>1</v>
      </c>
    </row>
    <row r="24" spans="1:18">
      <c r="A24" s="321"/>
      <c r="B24" s="17"/>
      <c r="C24" s="10"/>
      <c r="D24" s="11"/>
      <c r="E24" s="19">
        <f>$C23*E23</f>
        <v>3395.5790224999996</v>
      </c>
      <c r="F24" s="19">
        <f>$C23*F23</f>
        <v>4365.7444575</v>
      </c>
      <c r="G24" s="19">
        <f>$C23*G23</f>
        <v>1940.3308699999998</v>
      </c>
      <c r="H24" s="19">
        <f>$C23*H23</f>
        <v>3395.5790224999996</v>
      </c>
      <c r="I24" s="19">
        <f>$C23*I23</f>
        <v>2425.4135874999997</v>
      </c>
      <c r="J24" s="19">
        <f>J23*C23</f>
        <v>1455.2481524999998</v>
      </c>
      <c r="K24" s="26"/>
      <c r="L24" s="19"/>
      <c r="M24" s="16"/>
      <c r="N24" s="14"/>
      <c r="P24" s="278"/>
      <c r="R24" s="279">
        <f t="shared" ref="R24" si="3">SUM(E24:G24)</f>
        <v>9701.6543499999989</v>
      </c>
    </row>
    <row r="25" spans="1:18">
      <c r="A25" s="323">
        <f>'I - RESUMO'!A16</f>
        <v>8</v>
      </c>
      <c r="B25" s="273" t="str">
        <f>'I - RESUMO'!B16</f>
        <v>ESQUADRIAS</v>
      </c>
      <c r="C25" s="10">
        <f>'I - RESUMO'!G16</f>
        <v>25836.514999999999</v>
      </c>
      <c r="D25" s="11">
        <f>C25/C90</f>
        <v>7.477092637815265E-2</v>
      </c>
      <c r="E25" s="20">
        <v>0.4</v>
      </c>
      <c r="F25" s="20">
        <v>0.4</v>
      </c>
      <c r="G25" s="20">
        <v>0.2</v>
      </c>
      <c r="H25" s="25"/>
      <c r="I25" s="25"/>
      <c r="J25" s="25"/>
      <c r="K25" s="30"/>
      <c r="L25" s="22"/>
      <c r="M25" s="16"/>
      <c r="N25" s="14"/>
      <c r="P25" s="278">
        <f>+SUM(E25:G25)</f>
        <v>1</v>
      </c>
    </row>
    <row r="26" spans="1:18">
      <c r="A26" s="321"/>
      <c r="B26" s="17"/>
      <c r="C26" s="10"/>
      <c r="D26" s="11"/>
      <c r="E26" s="19">
        <f>$C25*E25</f>
        <v>10334.606</v>
      </c>
      <c r="F26" s="19">
        <f>$C25*F25</f>
        <v>10334.606</v>
      </c>
      <c r="G26" s="19">
        <f>$C25*G25</f>
        <v>5167.3029999999999</v>
      </c>
      <c r="H26" s="19"/>
      <c r="I26" s="19"/>
      <c r="J26" s="19"/>
      <c r="K26" s="26"/>
      <c r="L26" s="19"/>
      <c r="M26" s="16"/>
      <c r="N26" s="14"/>
      <c r="P26" s="278"/>
      <c r="R26" s="279">
        <f t="shared" ref="R26" si="4">SUM(E26:G26)</f>
        <v>25836.514999999999</v>
      </c>
    </row>
    <row r="27" spans="1:18">
      <c r="A27" s="323">
        <f>'I - RESUMO'!A18</f>
        <v>9</v>
      </c>
      <c r="B27" s="273" t="str">
        <f>'I - RESUMO'!B18</f>
        <v>COBERTURA</v>
      </c>
      <c r="C27" s="10">
        <f>'I - RESUMO'!G18</f>
        <v>14899.879849999999</v>
      </c>
      <c r="D27" s="11">
        <f>C27/C90</f>
        <v>4.3120282255856499E-2</v>
      </c>
      <c r="E27" s="20">
        <v>1</v>
      </c>
      <c r="F27" s="20"/>
      <c r="G27" s="20"/>
      <c r="H27" s="20">
        <v>0.15</v>
      </c>
      <c r="I27" s="20">
        <v>0.2</v>
      </c>
      <c r="J27" s="20">
        <v>0.2</v>
      </c>
      <c r="K27" s="31">
        <v>0.2</v>
      </c>
      <c r="L27" s="32">
        <v>0.2</v>
      </c>
      <c r="M27" s="32">
        <v>0.05</v>
      </c>
      <c r="N27" s="14"/>
      <c r="P27" s="278">
        <f t="shared" ref="P27" si="5">+SUM(E27:G27)</f>
        <v>1</v>
      </c>
    </row>
    <row r="28" spans="1:18">
      <c r="A28" s="321"/>
      <c r="B28" s="17"/>
      <c r="C28" s="10"/>
      <c r="D28" s="11"/>
      <c r="E28" s="19">
        <f>$C27*E27</f>
        <v>14899.879849999999</v>
      </c>
      <c r="F28" s="19">
        <f t="shared" ref="F28:G28" si="6">$C27*F27</f>
        <v>0</v>
      </c>
      <c r="G28" s="19">
        <f t="shared" si="6"/>
        <v>0</v>
      </c>
      <c r="H28" s="19">
        <f>$C27*H27</f>
        <v>2234.9819774999996</v>
      </c>
      <c r="I28" s="19">
        <f>$C27*I27</f>
        <v>2979.97597</v>
      </c>
      <c r="J28" s="19">
        <f>$C27*J27</f>
        <v>2979.97597</v>
      </c>
      <c r="K28" s="26">
        <f>K27*C27</f>
        <v>2979.97597</v>
      </c>
      <c r="L28" s="19">
        <f>L27*C27</f>
        <v>2979.97597</v>
      </c>
      <c r="M28" s="28">
        <f>M27*C27</f>
        <v>744.99399249999999</v>
      </c>
      <c r="N28" s="14"/>
      <c r="P28" s="278"/>
      <c r="R28" s="279">
        <f t="shared" ref="R28" si="7">SUM(E28:G28)</f>
        <v>14899.879849999999</v>
      </c>
    </row>
    <row r="29" spans="1:18">
      <c r="A29" s="323">
        <f>'I - RESUMO'!A20</f>
        <v>10</v>
      </c>
      <c r="B29" s="273" t="str">
        <f>'I - RESUMO'!B20</f>
        <v>REVESTIMENTO</v>
      </c>
      <c r="C29" s="10">
        <f>'I - RESUMO'!G20</f>
        <v>13720.473377272951</v>
      </c>
      <c r="D29" s="11">
        <f>C29/C90</f>
        <v>3.9707077551499471E-2</v>
      </c>
      <c r="E29" s="20">
        <v>0.55000000000000004</v>
      </c>
      <c r="F29" s="20">
        <v>0.35</v>
      </c>
      <c r="G29" s="20">
        <v>0.1</v>
      </c>
      <c r="H29" s="20"/>
      <c r="I29" s="20"/>
      <c r="J29" s="20"/>
      <c r="K29" s="31"/>
      <c r="L29" s="32"/>
      <c r="M29" s="16"/>
      <c r="N29" s="14"/>
      <c r="P29" s="278">
        <f t="shared" ref="P29" si="8">+SUM(E29:G29)</f>
        <v>1</v>
      </c>
    </row>
    <row r="30" spans="1:18">
      <c r="A30" s="321"/>
      <c r="B30" s="17"/>
      <c r="C30" s="10"/>
      <c r="D30" s="11"/>
      <c r="E30" s="19">
        <f t="shared" ref="E30:J30" si="9">$C29*E29</f>
        <v>7546.2603575001231</v>
      </c>
      <c r="F30" s="19">
        <f t="shared" si="9"/>
        <v>4802.1656820455328</v>
      </c>
      <c r="G30" s="19">
        <f t="shared" si="9"/>
        <v>1372.0473377272951</v>
      </c>
      <c r="H30" s="19">
        <f t="shared" si="9"/>
        <v>0</v>
      </c>
      <c r="I30" s="19">
        <f t="shared" si="9"/>
        <v>0</v>
      </c>
      <c r="J30" s="19">
        <f t="shared" si="9"/>
        <v>0</v>
      </c>
      <c r="K30" s="26">
        <f>K29*C29</f>
        <v>0</v>
      </c>
      <c r="L30" s="19">
        <f>L29*C29</f>
        <v>0</v>
      </c>
      <c r="M30" s="16"/>
      <c r="N30" s="14"/>
      <c r="P30" s="278"/>
      <c r="R30" s="279">
        <f t="shared" ref="R30" si="10">SUM(E30:G30)</f>
        <v>13720.473377272951</v>
      </c>
    </row>
    <row r="31" spans="1:18">
      <c r="A31" s="323">
        <f>'I - RESUMO'!A22</f>
        <v>11</v>
      </c>
      <c r="B31" s="273" t="str">
        <f>'I - RESUMO'!B22</f>
        <v>PAVIMENTAÇÃO</v>
      </c>
      <c r="C31" s="10">
        <f>'I - RESUMO'!G22</f>
        <v>21284.618512500001</v>
      </c>
      <c r="D31" s="11">
        <f>C31/C90</f>
        <v>6.1597728787539753E-2</v>
      </c>
      <c r="E31" s="20">
        <v>0.4</v>
      </c>
      <c r="F31" s="20">
        <v>0.3</v>
      </c>
      <c r="G31" s="20">
        <v>0.3</v>
      </c>
      <c r="H31" s="25"/>
      <c r="I31" s="25"/>
      <c r="J31" s="25"/>
      <c r="K31" s="20"/>
      <c r="L31" s="20"/>
      <c r="M31" s="20"/>
      <c r="N31" s="20"/>
      <c r="P31" s="278">
        <f t="shared" ref="P31" si="11">+SUM(E31:G31)</f>
        <v>1</v>
      </c>
    </row>
    <row r="32" spans="1:18">
      <c r="A32" s="321"/>
      <c r="B32" s="17"/>
      <c r="C32" s="10"/>
      <c r="D32" s="11"/>
      <c r="E32" s="19">
        <f>$C31*E31</f>
        <v>8513.8474050000004</v>
      </c>
      <c r="F32" s="19">
        <f>$C31*F31</f>
        <v>6385.3855537500003</v>
      </c>
      <c r="G32" s="19">
        <f>$C31*G31</f>
        <v>6385.3855537500003</v>
      </c>
      <c r="H32" s="19"/>
      <c r="I32" s="19"/>
      <c r="J32" s="19"/>
      <c r="K32" s="33">
        <f>K31*$C31</f>
        <v>0</v>
      </c>
      <c r="L32" s="33">
        <f t="shared" ref="L32:N32" si="12">L31*$C31</f>
        <v>0</v>
      </c>
      <c r="M32" s="33">
        <f t="shared" si="12"/>
        <v>0</v>
      </c>
      <c r="N32" s="34">
        <f t="shared" si="12"/>
        <v>0</v>
      </c>
      <c r="P32" s="278"/>
      <c r="R32" s="279">
        <f t="shared" ref="R32" si="13">SUM(E32:G32)</f>
        <v>21284.618512500001</v>
      </c>
    </row>
    <row r="33" spans="1:18">
      <c r="A33" s="323">
        <f>'I - RESUMO'!A24</f>
        <v>12</v>
      </c>
      <c r="B33" s="273" t="str">
        <f>'I - RESUMO'!B24</f>
        <v>SOLEIRAS E RODAPÉS</v>
      </c>
      <c r="C33" s="10">
        <f>'I - RESUMO'!G24</f>
        <v>1432.4006249999998</v>
      </c>
      <c r="D33" s="11">
        <f>C33/C90</f>
        <v>4.1453702899131263E-3</v>
      </c>
      <c r="E33" s="20"/>
      <c r="F33" s="20">
        <v>0.2</v>
      </c>
      <c r="G33" s="20">
        <v>0.8</v>
      </c>
      <c r="H33" s="20"/>
      <c r="I33" s="20"/>
      <c r="J33" s="20"/>
      <c r="K33" s="20"/>
      <c r="L33" s="32"/>
      <c r="M33" s="32"/>
      <c r="N33" s="14"/>
      <c r="P33" s="278">
        <f t="shared" ref="P33" si="14">+SUM(E33:G33)</f>
        <v>1</v>
      </c>
    </row>
    <row r="34" spans="1:18">
      <c r="A34" s="321"/>
      <c r="B34" s="17"/>
      <c r="C34" s="10"/>
      <c r="D34" s="11"/>
      <c r="E34" s="19">
        <f t="shared" ref="E34" si="15">$C33*E33</f>
        <v>0</v>
      </c>
      <c r="F34" s="19">
        <f>$C33*F33</f>
        <v>286.48012499999999</v>
      </c>
      <c r="G34" s="19">
        <f>$C33*G33</f>
        <v>1145.9204999999999</v>
      </c>
      <c r="H34" s="19">
        <f t="shared" ref="H34:J34" si="16">$C33*H33</f>
        <v>0</v>
      </c>
      <c r="I34" s="19">
        <f t="shared" si="16"/>
        <v>0</v>
      </c>
      <c r="J34" s="19">
        <f t="shared" si="16"/>
        <v>0</v>
      </c>
      <c r="K34" s="33">
        <f>K33*C33</f>
        <v>0</v>
      </c>
      <c r="L34" s="34">
        <f>L33*C33</f>
        <v>0</v>
      </c>
      <c r="M34" s="34">
        <f>M33*D33</f>
        <v>0</v>
      </c>
      <c r="N34" s="14"/>
      <c r="P34" s="278"/>
      <c r="R34" s="279">
        <f t="shared" ref="R34" si="17">SUM(E34:G34)</f>
        <v>1432.400625</v>
      </c>
    </row>
    <row r="35" spans="1:18">
      <c r="A35" s="323">
        <f>'I - RESUMO'!A26</f>
        <v>13</v>
      </c>
      <c r="B35" s="273" t="str">
        <f>'I - RESUMO'!B26</f>
        <v>PINTURAS</v>
      </c>
      <c r="C35" s="10">
        <f>'I - RESUMO'!G26</f>
        <v>20956.715850000001</v>
      </c>
      <c r="D35" s="11">
        <f>C35/C90</f>
        <v>6.0648777822713898E-2</v>
      </c>
      <c r="E35" s="20">
        <v>0.5</v>
      </c>
      <c r="F35" s="20">
        <v>0.4</v>
      </c>
      <c r="G35" s="20">
        <v>0.1</v>
      </c>
      <c r="H35" s="22"/>
      <c r="I35" s="20">
        <v>0.2</v>
      </c>
      <c r="J35" s="20">
        <v>0.2</v>
      </c>
      <c r="K35" s="27">
        <v>0.3</v>
      </c>
      <c r="L35" s="20">
        <v>0.25</v>
      </c>
      <c r="M35" s="20">
        <v>0.05</v>
      </c>
      <c r="N35" s="14"/>
      <c r="P35" s="278">
        <f t="shared" ref="P35" si="18">+SUM(E35:G35)</f>
        <v>1</v>
      </c>
    </row>
    <row r="36" spans="1:18">
      <c r="A36" s="321"/>
      <c r="B36" s="17"/>
      <c r="C36" s="10"/>
      <c r="D36" s="11"/>
      <c r="E36" s="19">
        <f>$C35*E35</f>
        <v>10478.357925</v>
      </c>
      <c r="F36" s="19">
        <f>$C35*F35</f>
        <v>8382.6863400000002</v>
      </c>
      <c r="G36" s="19">
        <f>$C35*G35</f>
        <v>2095.6715850000001</v>
      </c>
      <c r="H36" s="19"/>
      <c r="I36" s="19">
        <f>$C35*I35</f>
        <v>4191.3431700000001</v>
      </c>
      <c r="J36" s="19">
        <f>$C35*J35</f>
        <v>4191.3431700000001</v>
      </c>
      <c r="K36" s="26">
        <f>$C35*K35</f>
        <v>6287.0147550000002</v>
      </c>
      <c r="L36" s="19">
        <f>$C35*L35</f>
        <v>5239.1789625000001</v>
      </c>
      <c r="M36" s="28">
        <f>M35*C35</f>
        <v>1047.8357925</v>
      </c>
      <c r="N36" s="14"/>
      <c r="P36" s="278"/>
      <c r="R36" s="279">
        <f t="shared" ref="R36" si="19">SUM(E36:G36)</f>
        <v>20956.715850000001</v>
      </c>
    </row>
    <row r="37" spans="1:18">
      <c r="A37" s="323">
        <f>'I - RESUMO'!A28</f>
        <v>14</v>
      </c>
      <c r="B37" s="273" t="str">
        <f>'I - RESUMO'!B28</f>
        <v>ELEMENTOS DECORATIVOS E OUTROS</v>
      </c>
      <c r="C37" s="10">
        <f>'I - RESUMO'!G28</f>
        <v>54504.065249999992</v>
      </c>
      <c r="D37" s="11">
        <f>C37/C90</f>
        <v>0.15773487446421383</v>
      </c>
      <c r="E37" s="20"/>
      <c r="F37" s="20">
        <v>0.5</v>
      </c>
      <c r="G37" s="20">
        <v>0.5</v>
      </c>
      <c r="H37" s="20"/>
      <c r="I37" s="20"/>
      <c r="J37" s="20"/>
      <c r="K37" s="27"/>
      <c r="L37" s="20"/>
      <c r="M37" s="16"/>
      <c r="N37" s="14"/>
      <c r="P37" s="278">
        <f t="shared" ref="P37" si="20">+SUM(E37:G37)</f>
        <v>1</v>
      </c>
    </row>
    <row r="38" spans="1:18">
      <c r="A38" s="321"/>
      <c r="B38" s="17"/>
      <c r="C38" s="10"/>
      <c r="D38" s="11"/>
      <c r="E38" s="19">
        <f>$C37*E37</f>
        <v>0</v>
      </c>
      <c r="F38" s="19">
        <f>$C37*F37</f>
        <v>27252.032624999996</v>
      </c>
      <c r="G38" s="19">
        <f>$C37*G37</f>
        <v>27252.032624999996</v>
      </c>
      <c r="H38" s="19">
        <f t="shared" ref="H38:L38" si="21">$C37*H37</f>
        <v>0</v>
      </c>
      <c r="I38" s="19">
        <f t="shared" si="21"/>
        <v>0</v>
      </c>
      <c r="J38" s="19">
        <f t="shared" si="21"/>
        <v>0</v>
      </c>
      <c r="K38" s="26">
        <f t="shared" si="21"/>
        <v>0</v>
      </c>
      <c r="L38" s="19">
        <f t="shared" si="21"/>
        <v>0</v>
      </c>
      <c r="M38" s="16"/>
      <c r="N38" s="14"/>
      <c r="P38" s="278"/>
      <c r="R38" s="279">
        <f>SUM(E38:G38)</f>
        <v>54504.065249999992</v>
      </c>
    </row>
    <row r="39" spans="1:18">
      <c r="A39" s="323">
        <f>'I - RESUMO'!A30</f>
        <v>15</v>
      </c>
      <c r="B39" s="273" t="str">
        <f>'I - RESUMO'!B30</f>
        <v>INSTALAÇÕES REDE LÓGICA</v>
      </c>
      <c r="C39" s="10">
        <f>'I - RESUMO'!G30</f>
        <v>8671.0375000000022</v>
      </c>
      <c r="D39" s="11">
        <f>C39/C90</f>
        <v>2.5093999966121633E-2</v>
      </c>
      <c r="E39" s="20">
        <v>0.2</v>
      </c>
      <c r="F39" s="20">
        <v>0.4</v>
      </c>
      <c r="G39" s="20">
        <v>0.4</v>
      </c>
      <c r="H39" s="25"/>
      <c r="I39" s="25"/>
      <c r="J39" s="20"/>
      <c r="K39" s="27"/>
      <c r="L39" s="27"/>
      <c r="M39" s="27"/>
      <c r="N39" s="14"/>
      <c r="P39" s="278">
        <f t="shared" ref="P39" si="22">+SUM(E39:G39)</f>
        <v>1</v>
      </c>
    </row>
    <row r="40" spans="1:18">
      <c r="A40" s="321"/>
      <c r="B40" s="17"/>
      <c r="C40" s="10"/>
      <c r="D40" s="11"/>
      <c r="E40" s="19">
        <f>$C39*E39</f>
        <v>1734.2075000000004</v>
      </c>
      <c r="F40" s="19">
        <f>$C39*F39</f>
        <v>3468.4150000000009</v>
      </c>
      <c r="G40" s="19">
        <f>$C39*G39</f>
        <v>3468.4150000000009</v>
      </c>
      <c r="H40" s="19"/>
      <c r="I40" s="19"/>
      <c r="J40" s="19">
        <f t="shared" ref="J40:K40" si="23">$C39*J39</f>
        <v>0</v>
      </c>
      <c r="K40" s="26">
        <f t="shared" si="23"/>
        <v>0</v>
      </c>
      <c r="L40" s="19">
        <f>L39*C39</f>
        <v>0</v>
      </c>
      <c r="M40" s="28">
        <f>M39*C39</f>
        <v>0</v>
      </c>
      <c r="N40" s="14"/>
      <c r="P40" s="278"/>
      <c r="R40" s="279">
        <f t="shared" ref="R40" si="24">SUM(E40:G40)</f>
        <v>8671.0375000000022</v>
      </c>
    </row>
    <row r="41" spans="1:18">
      <c r="A41" s="323">
        <f>'I - RESUMO'!A32</f>
        <v>16</v>
      </c>
      <c r="B41" s="273" t="str">
        <f>'I - RESUMO'!B32</f>
        <v>PORTAL DE ACESSO</v>
      </c>
      <c r="C41" s="10">
        <f>'I - RESUMO'!G32</f>
        <v>9962.5681249999998</v>
      </c>
      <c r="D41" s="11">
        <f>C41/C90</f>
        <v>2.8831692192685637E-2</v>
      </c>
      <c r="E41" s="20">
        <v>0.35</v>
      </c>
      <c r="F41" s="20">
        <v>0.55000000000000004</v>
      </c>
      <c r="G41" s="20">
        <v>0.1</v>
      </c>
      <c r="H41" s="20"/>
      <c r="I41" s="20"/>
      <c r="J41" s="22"/>
      <c r="K41" s="29"/>
      <c r="L41" s="20"/>
      <c r="M41" s="20"/>
      <c r="N41" s="14"/>
      <c r="P41" s="278">
        <f t="shared" ref="P41" si="25">+SUM(E41:G41)</f>
        <v>1</v>
      </c>
    </row>
    <row r="42" spans="1:18">
      <c r="A42" s="321"/>
      <c r="B42" s="17"/>
      <c r="C42" s="10"/>
      <c r="D42" s="11"/>
      <c r="E42" s="19">
        <f>$C41*E41</f>
        <v>3486.8988437499997</v>
      </c>
      <c r="F42" s="19">
        <f>$C41*F41</f>
        <v>5479.4124687500007</v>
      </c>
      <c r="G42" s="19">
        <f>$C41*G41</f>
        <v>996.25681250000002</v>
      </c>
      <c r="H42" s="19">
        <f>$C41*H41</f>
        <v>0</v>
      </c>
      <c r="I42" s="19">
        <f>$C41*I41</f>
        <v>0</v>
      </c>
      <c r="J42" s="19"/>
      <c r="K42" s="26"/>
      <c r="L42" s="19">
        <f>L41*C41</f>
        <v>0</v>
      </c>
      <c r="M42" s="28">
        <f>M41*C41</f>
        <v>0</v>
      </c>
      <c r="N42" s="14"/>
      <c r="P42" s="278"/>
      <c r="R42" s="279">
        <f t="shared" ref="R42" si="26">SUM(E42:G42)</f>
        <v>9962.5681249999998</v>
      </c>
    </row>
    <row r="43" spans="1:18">
      <c r="A43" s="323">
        <f>'I - RESUMO'!A34</f>
        <v>17</v>
      </c>
      <c r="B43" s="273" t="str">
        <f>'I - RESUMO'!B34</f>
        <v>LIMPEZA DA OBRA</v>
      </c>
      <c r="C43" s="10">
        <f>'I - RESUMO'!G34</f>
        <v>2314.3049999999998</v>
      </c>
      <c r="D43" s="11">
        <f>C43/C90</f>
        <v>6.6976033250456023E-3</v>
      </c>
      <c r="E43" s="20"/>
      <c r="F43" s="20">
        <v>0.1</v>
      </c>
      <c r="G43" s="20">
        <v>0.9</v>
      </c>
      <c r="H43" s="20"/>
      <c r="I43" s="20"/>
      <c r="J43" s="20"/>
      <c r="K43" s="20"/>
      <c r="L43" s="20"/>
      <c r="M43" s="20"/>
      <c r="N43" s="14"/>
      <c r="P43" s="278">
        <f t="shared" ref="P43" si="27">+SUM(E43:G43)</f>
        <v>1</v>
      </c>
    </row>
    <row r="44" spans="1:18">
      <c r="A44" s="14"/>
      <c r="B44" s="17"/>
      <c r="C44" s="35"/>
      <c r="D44" s="13"/>
      <c r="E44" s="19">
        <f t="shared" ref="E44" si="28">$C43*E43</f>
        <v>0</v>
      </c>
      <c r="F44" s="19">
        <f>$C43*F43</f>
        <v>231.43049999999999</v>
      </c>
      <c r="G44" s="19">
        <f>$C43*G43</f>
        <v>2082.8744999999999</v>
      </c>
      <c r="H44" s="19">
        <f>H43*$C43</f>
        <v>0</v>
      </c>
      <c r="I44" s="19">
        <f t="shared" ref="I44:M44" si="29">I43*$C43</f>
        <v>0</v>
      </c>
      <c r="J44" s="19">
        <f t="shared" si="29"/>
        <v>0</v>
      </c>
      <c r="K44" s="19">
        <f t="shared" si="29"/>
        <v>0</v>
      </c>
      <c r="L44" s="19">
        <f t="shared" si="29"/>
        <v>0</v>
      </c>
      <c r="M44" s="19">
        <f t="shared" si="29"/>
        <v>0</v>
      </c>
      <c r="N44" s="14"/>
      <c r="P44" s="278"/>
      <c r="R44" s="279">
        <f t="shared" ref="R44" si="30">SUM(E44:G44)</f>
        <v>2314.3049999999998</v>
      </c>
    </row>
    <row r="45" spans="1:18" hidden="1">
      <c r="A45" s="321">
        <v>18</v>
      </c>
      <c r="B45" s="171" t="e">
        <f>VLOOKUP(A45,'II - ORÇAMENTO'!$A$137:$I$256,2,FALSE)</f>
        <v>#N/A</v>
      </c>
      <c r="C45" s="35" t="e">
        <f>+'II - ORÇAMENTO'!#REF!</f>
        <v>#REF!</v>
      </c>
      <c r="D45" s="11" t="e">
        <f>C45/C90</f>
        <v>#REF!</v>
      </c>
      <c r="E45" s="14"/>
      <c r="F45" s="19"/>
      <c r="G45" s="19"/>
      <c r="H45" s="36">
        <v>0.05</v>
      </c>
      <c r="I45" s="36">
        <v>0.05</v>
      </c>
      <c r="J45" s="36">
        <v>0.1</v>
      </c>
      <c r="K45" s="36">
        <v>0.2</v>
      </c>
      <c r="L45" s="36">
        <v>0.25</v>
      </c>
      <c r="M45" s="36">
        <v>0.25</v>
      </c>
      <c r="N45" s="36">
        <v>0.1</v>
      </c>
      <c r="P45" s="278"/>
    </row>
    <row r="46" spans="1:18" hidden="1">
      <c r="A46" s="321"/>
      <c r="B46" s="17"/>
      <c r="C46" s="35"/>
      <c r="D46" s="13"/>
      <c r="E46" s="14"/>
      <c r="F46" s="19"/>
      <c r="G46" s="19"/>
      <c r="H46" s="19" t="e">
        <f>H45*$C45</f>
        <v>#REF!</v>
      </c>
      <c r="I46" s="19" t="e">
        <f t="shared" ref="I46:M46" si="31">I45*$C45</f>
        <v>#REF!</v>
      </c>
      <c r="J46" s="19" t="e">
        <f t="shared" si="31"/>
        <v>#REF!</v>
      </c>
      <c r="K46" s="19" t="e">
        <f t="shared" si="31"/>
        <v>#REF!</v>
      </c>
      <c r="L46" s="19" t="e">
        <f t="shared" si="31"/>
        <v>#REF!</v>
      </c>
      <c r="M46" s="19" t="e">
        <f t="shared" si="31"/>
        <v>#REF!</v>
      </c>
      <c r="N46" s="34" t="e">
        <f>N45*C45</f>
        <v>#REF!</v>
      </c>
      <c r="P46" s="278"/>
      <c r="R46" s="279">
        <f t="shared" ref="R46" si="32">SUM(E46:G46)</f>
        <v>0</v>
      </c>
    </row>
    <row r="47" spans="1:18" hidden="1">
      <c r="A47" s="321">
        <v>19</v>
      </c>
      <c r="B47" s="171" t="e">
        <f>VLOOKUP(A47,'II - ORÇAMENTO'!$A$137:$I$256,2,FALSE)</f>
        <v>#N/A</v>
      </c>
      <c r="C47" s="35" t="e">
        <f>+'II - ORÇAMENTO'!#REF!</f>
        <v>#REF!</v>
      </c>
      <c r="D47" s="11" t="e">
        <f>C47/C90</f>
        <v>#REF!</v>
      </c>
      <c r="E47" s="14"/>
      <c r="F47" s="19"/>
      <c r="G47" s="19"/>
      <c r="H47" s="19"/>
      <c r="I47" s="36">
        <v>0.2</v>
      </c>
      <c r="J47" s="19"/>
      <c r="K47" s="26"/>
      <c r="L47" s="19"/>
      <c r="M47" s="37">
        <v>0.8</v>
      </c>
      <c r="N47" s="14"/>
      <c r="P47" s="278"/>
    </row>
    <row r="48" spans="1:18" hidden="1">
      <c r="A48" s="321"/>
      <c r="B48" s="17"/>
      <c r="C48" s="35"/>
      <c r="D48" s="13"/>
      <c r="E48" s="14"/>
      <c r="F48" s="19"/>
      <c r="G48" s="19"/>
      <c r="H48" s="19"/>
      <c r="I48" s="19" t="e">
        <f>I47*C47</f>
        <v>#REF!</v>
      </c>
      <c r="J48" s="19"/>
      <c r="K48" s="26"/>
      <c r="L48" s="19"/>
      <c r="M48" s="28" t="e">
        <f>M47*C47</f>
        <v>#REF!</v>
      </c>
      <c r="N48" s="14"/>
      <c r="P48" s="278"/>
      <c r="R48" s="279">
        <f t="shared" ref="R48" si="33">SUM(E48:G48)</f>
        <v>0</v>
      </c>
    </row>
    <row r="49" spans="1:18" hidden="1">
      <c r="A49" s="321">
        <v>20</v>
      </c>
      <c r="B49" s="171" t="e">
        <f>VLOOKUP(A49,'II - ORÇAMENTO'!$A$137:$I$256,2,FALSE)</f>
        <v>#N/A</v>
      </c>
      <c r="C49" s="35" t="e">
        <f>+'II - ORÇAMENTO'!#REF!</f>
        <v>#REF!</v>
      </c>
      <c r="D49" s="11" t="e">
        <f>C49/C90</f>
        <v>#REF!</v>
      </c>
      <c r="E49" s="14"/>
      <c r="F49" s="19"/>
      <c r="G49" s="19"/>
      <c r="H49" s="19"/>
      <c r="I49" s="19"/>
      <c r="J49" s="19"/>
      <c r="K49" s="38">
        <v>0.2</v>
      </c>
      <c r="L49" s="36">
        <v>0.3</v>
      </c>
      <c r="M49" s="36">
        <v>0.3</v>
      </c>
      <c r="N49" s="36">
        <v>0.2</v>
      </c>
      <c r="P49" s="278"/>
    </row>
    <row r="50" spans="1:18" hidden="1">
      <c r="A50" s="321"/>
      <c r="B50" s="17"/>
      <c r="C50" s="35"/>
      <c r="D50" s="13"/>
      <c r="E50" s="14"/>
      <c r="F50" s="19"/>
      <c r="G50" s="19"/>
      <c r="H50" s="19"/>
      <c r="I50" s="19"/>
      <c r="J50" s="19"/>
      <c r="K50" s="26" t="e">
        <f>K49*$C49</f>
        <v>#REF!</v>
      </c>
      <c r="L50" s="26" t="e">
        <f t="shared" ref="L50:N50" si="34">L49*$C49</f>
        <v>#REF!</v>
      </c>
      <c r="M50" s="26" t="e">
        <f t="shared" si="34"/>
        <v>#REF!</v>
      </c>
      <c r="N50" s="19" t="e">
        <f t="shared" si="34"/>
        <v>#REF!</v>
      </c>
      <c r="P50" s="278"/>
      <c r="R50" s="279">
        <f t="shared" ref="R50" si="35">SUM(E50:G50)</f>
        <v>0</v>
      </c>
    </row>
    <row r="51" spans="1:18" hidden="1">
      <c r="A51" s="321">
        <v>21</v>
      </c>
      <c r="B51" s="171" t="e">
        <f>VLOOKUP(A51,'II - ORÇAMENTO'!$A$137:$I$256,2,FALSE)</f>
        <v>#N/A</v>
      </c>
      <c r="C51" s="35" t="e">
        <f>+'II - ORÇAMENTO'!#REF!</f>
        <v>#REF!</v>
      </c>
      <c r="D51" s="11" t="e">
        <f>C51/C90</f>
        <v>#REF!</v>
      </c>
      <c r="E51" s="14"/>
      <c r="F51" s="19"/>
      <c r="G51" s="19"/>
      <c r="H51" s="19"/>
      <c r="I51" s="19"/>
      <c r="J51" s="19"/>
      <c r="K51" s="26"/>
      <c r="L51" s="19"/>
      <c r="M51" s="16"/>
      <c r="N51" s="36">
        <v>1</v>
      </c>
      <c r="P51" s="278"/>
    </row>
    <row r="52" spans="1:18" hidden="1">
      <c r="A52" s="321"/>
      <c r="B52" s="17"/>
      <c r="C52" s="35"/>
      <c r="D52" s="13"/>
      <c r="E52" s="14"/>
      <c r="F52" s="19"/>
      <c r="G52" s="19"/>
      <c r="H52" s="19"/>
      <c r="I52" s="19"/>
      <c r="J52" s="19"/>
      <c r="K52" s="26"/>
      <c r="L52" s="19"/>
      <c r="M52" s="16"/>
      <c r="N52" s="34" t="e">
        <f>N51*C51</f>
        <v>#REF!</v>
      </c>
      <c r="P52" s="278"/>
      <c r="R52" s="279">
        <f t="shared" ref="R52" si="36">SUM(E52:G52)</f>
        <v>0</v>
      </c>
    </row>
    <row r="53" spans="1:18" hidden="1">
      <c r="A53" s="321">
        <v>22</v>
      </c>
      <c r="B53" s="171" t="e">
        <f>VLOOKUP(A53,'II - ORÇAMENTO'!$A$137:$I$256,2,FALSE)</f>
        <v>#N/A</v>
      </c>
      <c r="C53" s="35" t="e">
        <f>+'II - ORÇAMENTO'!#REF!</f>
        <v>#REF!</v>
      </c>
      <c r="D53" s="11" t="e">
        <f>C53/C90</f>
        <v>#REF!</v>
      </c>
      <c r="E53" s="14"/>
      <c r="F53" s="36">
        <v>0.15</v>
      </c>
      <c r="G53" s="36">
        <v>0.1</v>
      </c>
      <c r="H53" s="39"/>
      <c r="I53" s="39"/>
      <c r="J53" s="39"/>
      <c r="K53" s="38">
        <v>0.3</v>
      </c>
      <c r="L53" s="36">
        <v>0.2</v>
      </c>
      <c r="M53" s="38">
        <v>0.15</v>
      </c>
      <c r="N53" s="36">
        <v>0.1</v>
      </c>
      <c r="P53" s="278"/>
    </row>
    <row r="54" spans="1:18" hidden="1">
      <c r="A54" s="321"/>
      <c r="B54" s="17"/>
      <c r="C54" s="35"/>
      <c r="D54" s="13"/>
      <c r="E54" s="14"/>
      <c r="F54" s="19" t="e">
        <f>F53*C53</f>
        <v>#REF!</v>
      </c>
      <c r="G54" s="19" t="e">
        <f>G53*C53</f>
        <v>#REF!</v>
      </c>
      <c r="H54" s="19"/>
      <c r="I54" s="19"/>
      <c r="J54" s="19"/>
      <c r="K54" s="26" t="e">
        <f>K53*C53</f>
        <v>#REF!</v>
      </c>
      <c r="L54" s="19" t="e">
        <f>L53*C53</f>
        <v>#REF!</v>
      </c>
      <c r="M54" s="28" t="e">
        <f>M53*C53</f>
        <v>#REF!</v>
      </c>
      <c r="N54" s="34" t="e">
        <f>N53*C53</f>
        <v>#REF!</v>
      </c>
      <c r="P54" s="278"/>
      <c r="R54" s="279" t="e">
        <f t="shared" ref="R54" si="37">SUM(E54:G54)</f>
        <v>#REF!</v>
      </c>
    </row>
    <row r="55" spans="1:18" hidden="1">
      <c r="A55" s="321">
        <v>23</v>
      </c>
      <c r="B55" s="171" t="e">
        <f>VLOOKUP(A55,'II - ORÇAMENTO'!$A$137:$I$256,2,FALSE)</f>
        <v>#N/A</v>
      </c>
      <c r="C55" s="35" t="e">
        <f>+'II - ORÇAMENTO'!#REF!</f>
        <v>#REF!</v>
      </c>
      <c r="D55" s="11" t="e">
        <f>C55/C90</f>
        <v>#REF!</v>
      </c>
      <c r="E55" s="36">
        <v>0.15</v>
      </c>
      <c r="F55" s="36">
        <v>0.25</v>
      </c>
      <c r="G55" s="40"/>
      <c r="H55" s="19"/>
      <c r="I55" s="19"/>
      <c r="J55" s="19"/>
      <c r="K55" s="26"/>
      <c r="L55" s="36">
        <v>0.15</v>
      </c>
      <c r="M55" s="36">
        <v>0.3</v>
      </c>
      <c r="N55" s="36">
        <v>0.15</v>
      </c>
      <c r="P55" s="278"/>
    </row>
    <row r="56" spans="1:18" hidden="1">
      <c r="A56" s="321"/>
      <c r="B56" s="17"/>
      <c r="C56" s="35"/>
      <c r="D56" s="13"/>
      <c r="E56" s="34" t="e">
        <f>E55*C55</f>
        <v>#REF!</v>
      </c>
      <c r="F56" s="34" t="e">
        <f>F55*C55</f>
        <v>#REF!</v>
      </c>
      <c r="G56" s="34"/>
      <c r="H56" s="19"/>
      <c r="I56" s="19"/>
      <c r="J56" s="19"/>
      <c r="K56" s="26"/>
      <c r="L56" s="19" t="e">
        <f>L55*C55</f>
        <v>#REF!</v>
      </c>
      <c r="M56" s="28" t="e">
        <f>M55*C55</f>
        <v>#REF!</v>
      </c>
      <c r="N56" s="34" t="e">
        <f>N55*C55</f>
        <v>#REF!</v>
      </c>
      <c r="P56" s="278"/>
      <c r="R56" s="279" t="e">
        <f t="shared" ref="R56" si="38">SUM(E56:G56)</f>
        <v>#REF!</v>
      </c>
    </row>
    <row r="57" spans="1:18" hidden="1">
      <c r="A57" s="321">
        <v>24</v>
      </c>
      <c r="B57" s="171" t="e">
        <f>VLOOKUP(A57,'II - ORÇAMENTO'!$A$137:$I$256,2,FALSE)</f>
        <v>#N/A</v>
      </c>
      <c r="C57" s="35" t="e">
        <f>+'II - ORÇAMENTO'!#REF!</f>
        <v>#REF!</v>
      </c>
      <c r="D57" s="11" t="e">
        <f>C57/C90</f>
        <v>#REF!</v>
      </c>
      <c r="E57" s="14"/>
      <c r="F57" s="19"/>
      <c r="G57" s="20">
        <v>0.1</v>
      </c>
      <c r="H57" s="20">
        <v>0.7</v>
      </c>
      <c r="I57" s="20">
        <v>0.2</v>
      </c>
      <c r="J57" s="19"/>
      <c r="K57" s="26"/>
      <c r="L57" s="19"/>
      <c r="M57" s="48"/>
      <c r="N57" s="324"/>
      <c r="P57" s="278"/>
    </row>
    <row r="58" spans="1:18" hidden="1">
      <c r="A58" s="14"/>
      <c r="B58" s="17"/>
      <c r="C58" s="35"/>
      <c r="D58" s="14"/>
      <c r="E58" s="14"/>
      <c r="F58" s="14"/>
      <c r="G58" s="19" t="e">
        <f>$C$57*G57</f>
        <v>#REF!</v>
      </c>
      <c r="H58" s="19" t="e">
        <f t="shared" ref="H58:I58" si="39">$C$57*H57</f>
        <v>#REF!</v>
      </c>
      <c r="I58" s="19" t="e">
        <f t="shared" si="39"/>
        <v>#REF!</v>
      </c>
      <c r="J58" s="14"/>
      <c r="K58" s="14"/>
      <c r="L58" s="14"/>
      <c r="M58" s="49"/>
      <c r="N58" s="49"/>
      <c r="P58" s="278"/>
      <c r="R58" s="279" t="e">
        <f t="shared" ref="R58" si="40">SUM(E58:G58)</f>
        <v>#REF!</v>
      </c>
    </row>
    <row r="59" spans="1:18" hidden="1">
      <c r="A59" s="321">
        <v>25</v>
      </c>
      <c r="B59" s="171" t="e">
        <f>VLOOKUP(A59,'II - ORÇAMENTO'!$A$137:$I$256,2,FALSE)</f>
        <v>#N/A</v>
      </c>
      <c r="C59" s="35" t="e">
        <f>+'II - ORÇAMENTO'!#REF!</f>
        <v>#REF!</v>
      </c>
      <c r="D59" s="11" t="e">
        <f>C59/C90</f>
        <v>#REF!</v>
      </c>
      <c r="E59" s="14"/>
      <c r="F59" s="19"/>
      <c r="G59" s="19"/>
      <c r="H59" s="20">
        <v>0.15</v>
      </c>
      <c r="I59" s="20">
        <v>0.4</v>
      </c>
      <c r="J59" s="20">
        <v>0.45</v>
      </c>
      <c r="K59" s="172"/>
      <c r="L59" s="172"/>
      <c r="M59" s="172"/>
      <c r="N59" s="172"/>
      <c r="P59" s="278"/>
    </row>
    <row r="60" spans="1:18" hidden="1">
      <c r="A60" s="14"/>
      <c r="B60" s="17"/>
      <c r="C60" s="35"/>
      <c r="D60" s="14"/>
      <c r="E60" s="14"/>
      <c r="F60" s="14"/>
      <c r="G60" s="14"/>
      <c r="H60" s="19" t="e">
        <f t="shared" ref="H60:J60" si="41">$C59*H59</f>
        <v>#REF!</v>
      </c>
      <c r="I60" s="19" t="e">
        <f t="shared" si="41"/>
        <v>#REF!</v>
      </c>
      <c r="J60" s="19" t="e">
        <f t="shared" si="41"/>
        <v>#REF!</v>
      </c>
      <c r="K60" s="172"/>
      <c r="L60" s="172"/>
      <c r="M60" s="172"/>
      <c r="N60" s="172"/>
      <c r="P60" s="278"/>
      <c r="R60" s="279">
        <f t="shared" ref="R60" si="42">SUM(E60:G60)</f>
        <v>0</v>
      </c>
    </row>
    <row r="61" spans="1:18" hidden="1">
      <c r="A61" s="321">
        <v>26</v>
      </c>
      <c r="B61" s="171" t="e">
        <f>VLOOKUP(A61,'II - ORÇAMENTO'!$A$137:$I$256,2,FALSE)</f>
        <v>#N/A</v>
      </c>
      <c r="C61" s="35" t="e">
        <f>+'II - ORÇAMENTO'!#REF!</f>
        <v>#REF!</v>
      </c>
      <c r="D61" s="11" t="e">
        <f>C61/C90</f>
        <v>#REF!</v>
      </c>
      <c r="E61" s="14"/>
      <c r="F61" s="19"/>
      <c r="G61" s="19"/>
      <c r="H61" s="172"/>
      <c r="I61" s="172"/>
      <c r="J61" s="20">
        <v>0.1</v>
      </c>
      <c r="K61" s="20">
        <v>0.4</v>
      </c>
      <c r="L61" s="27">
        <v>0.3</v>
      </c>
      <c r="M61" s="20">
        <v>0.2</v>
      </c>
      <c r="N61" s="172"/>
      <c r="P61" s="278"/>
    </row>
    <row r="62" spans="1:18" hidden="1">
      <c r="A62" s="14"/>
      <c r="B62" s="17"/>
      <c r="C62" s="35"/>
      <c r="D62" s="14"/>
      <c r="E62" s="14"/>
      <c r="F62" s="14"/>
      <c r="G62" s="14"/>
      <c r="H62" s="172"/>
      <c r="I62" s="172"/>
      <c r="J62" s="19" t="e">
        <f>$C61*J61</f>
        <v>#REF!</v>
      </c>
      <c r="K62" s="19" t="e">
        <f t="shared" ref="K62:M62" si="43">$C61*K61</f>
        <v>#REF!</v>
      </c>
      <c r="L62" s="19" t="e">
        <f t="shared" si="43"/>
        <v>#REF!</v>
      </c>
      <c r="M62" s="19" t="e">
        <f t="shared" si="43"/>
        <v>#REF!</v>
      </c>
      <c r="N62" s="172"/>
      <c r="P62" s="278"/>
      <c r="R62" s="279">
        <f t="shared" ref="R62" si="44">SUM(E62:G62)</f>
        <v>0</v>
      </c>
    </row>
    <row r="63" spans="1:18" hidden="1">
      <c r="A63" s="321">
        <v>27</v>
      </c>
      <c r="B63" s="171" t="e">
        <f>VLOOKUP(A63,'II - ORÇAMENTO'!$A$137:$I$256,2,FALSE)</f>
        <v>#N/A</v>
      </c>
      <c r="C63" s="35" t="e">
        <f>+'II - ORÇAMENTO'!#REF!</f>
        <v>#REF!</v>
      </c>
      <c r="D63" s="11" t="e">
        <f>C63/C90</f>
        <v>#REF!</v>
      </c>
      <c r="E63" s="14"/>
      <c r="F63" s="19"/>
      <c r="G63" s="19"/>
      <c r="H63" s="20">
        <v>0.25</v>
      </c>
      <c r="I63" s="20">
        <v>0.35</v>
      </c>
      <c r="J63" s="20">
        <v>0.25</v>
      </c>
      <c r="K63" s="20">
        <v>0.15</v>
      </c>
      <c r="L63" s="172"/>
      <c r="M63" s="172"/>
      <c r="N63" s="172"/>
      <c r="P63" s="278"/>
    </row>
    <row r="64" spans="1:18" hidden="1">
      <c r="A64" s="14"/>
      <c r="B64" s="17"/>
      <c r="C64" s="35"/>
      <c r="D64" s="14"/>
      <c r="E64" s="14"/>
      <c r="F64" s="14"/>
      <c r="G64" s="14"/>
      <c r="H64" s="19" t="e">
        <f>$C63*H63</f>
        <v>#REF!</v>
      </c>
      <c r="I64" s="19" t="e">
        <f t="shared" ref="I64:K64" si="45">$C63*I63</f>
        <v>#REF!</v>
      </c>
      <c r="J64" s="19" t="e">
        <f t="shared" si="45"/>
        <v>#REF!</v>
      </c>
      <c r="K64" s="19" t="e">
        <f t="shared" si="45"/>
        <v>#REF!</v>
      </c>
      <c r="L64" s="172"/>
      <c r="M64" s="172"/>
      <c r="N64" s="172"/>
      <c r="P64" s="278"/>
      <c r="R64" s="279">
        <f t="shared" ref="R64" si="46">SUM(E64:G64)</f>
        <v>0</v>
      </c>
    </row>
    <row r="65" spans="1:18" hidden="1">
      <c r="A65" s="321">
        <v>28</v>
      </c>
      <c r="B65" s="171" t="e">
        <f>VLOOKUP(A65,'II - ORÇAMENTO'!$A$137:$I$256,2,FALSE)</f>
        <v>#N/A</v>
      </c>
      <c r="C65" s="35" t="e">
        <f>+'II - ORÇAMENTO'!#REF!</f>
        <v>#REF!</v>
      </c>
      <c r="D65" s="11" t="e">
        <f>C65/C90</f>
        <v>#REF!</v>
      </c>
      <c r="E65" s="14"/>
      <c r="F65" s="19"/>
      <c r="G65" s="19"/>
      <c r="H65" s="20">
        <v>1</v>
      </c>
      <c r="I65" s="172"/>
      <c r="J65" s="172"/>
      <c r="K65" s="172"/>
      <c r="L65" s="172"/>
      <c r="M65" s="172"/>
      <c r="N65" s="172"/>
      <c r="P65" s="278"/>
    </row>
    <row r="66" spans="1:18" hidden="1">
      <c r="A66" s="14"/>
      <c r="B66" s="17"/>
      <c r="C66" s="35"/>
      <c r="D66" s="14"/>
      <c r="E66" s="14"/>
      <c r="F66" s="14"/>
      <c r="G66" s="14"/>
      <c r="H66" s="19" t="e">
        <f>$C65*H65</f>
        <v>#REF!</v>
      </c>
      <c r="I66" s="172"/>
      <c r="J66" s="172"/>
      <c r="K66" s="172"/>
      <c r="L66" s="172"/>
      <c r="M66" s="172"/>
      <c r="N66" s="172"/>
      <c r="P66" s="278"/>
      <c r="R66" s="279">
        <f t="shared" ref="R66" si="47">SUM(E66:G66)</f>
        <v>0</v>
      </c>
    </row>
    <row r="67" spans="1:18" hidden="1">
      <c r="A67" s="321">
        <v>29</v>
      </c>
      <c r="B67" s="171" t="e">
        <f>VLOOKUP(A67,'II - ORÇAMENTO'!$A$137:$I$256,2,FALSE)</f>
        <v>#N/A</v>
      </c>
      <c r="C67" s="35" t="e">
        <f>+'II - ORÇAMENTO'!#REF!</f>
        <v>#REF!</v>
      </c>
      <c r="D67" s="11" t="e">
        <f>C67/C90</f>
        <v>#REF!</v>
      </c>
      <c r="E67" s="14"/>
      <c r="F67" s="19"/>
      <c r="G67" s="19"/>
      <c r="H67" s="172"/>
      <c r="I67" s="20">
        <v>0.15</v>
      </c>
      <c r="J67" s="20">
        <v>0.2</v>
      </c>
      <c r="K67" s="20">
        <v>0.2</v>
      </c>
      <c r="L67" s="31">
        <v>0.2</v>
      </c>
      <c r="M67" s="32">
        <v>0.2</v>
      </c>
      <c r="N67" s="32">
        <v>0.05</v>
      </c>
      <c r="P67" s="278"/>
    </row>
    <row r="68" spans="1:18" hidden="1">
      <c r="A68" s="14"/>
      <c r="B68" s="17"/>
      <c r="C68" s="35"/>
      <c r="D68" s="14"/>
      <c r="E68" s="14"/>
      <c r="F68" s="14"/>
      <c r="G68" s="14"/>
      <c r="H68" s="172"/>
      <c r="I68" s="19" t="e">
        <f>$C$67*I67</f>
        <v>#REF!</v>
      </c>
      <c r="J68" s="19" t="e">
        <f t="shared" ref="J68:N68" si="48">$C$67*J67</f>
        <v>#REF!</v>
      </c>
      <c r="K68" s="19" t="e">
        <f t="shared" si="48"/>
        <v>#REF!</v>
      </c>
      <c r="L68" s="19" t="e">
        <f t="shared" si="48"/>
        <v>#REF!</v>
      </c>
      <c r="M68" s="19" t="e">
        <f t="shared" si="48"/>
        <v>#REF!</v>
      </c>
      <c r="N68" s="19" t="e">
        <f t="shared" si="48"/>
        <v>#REF!</v>
      </c>
      <c r="P68" s="278"/>
      <c r="R68" s="279">
        <f t="shared" ref="R68" si="49">SUM(E68:G68)</f>
        <v>0</v>
      </c>
    </row>
    <row r="69" spans="1:18" hidden="1">
      <c r="A69" s="321">
        <v>30</v>
      </c>
      <c r="B69" s="171" t="e">
        <f>VLOOKUP(A69,'II - ORÇAMENTO'!$A$137:$I$256,2,FALSE)</f>
        <v>#N/A</v>
      </c>
      <c r="C69" s="35" t="e">
        <f>+'II - ORÇAMENTO'!#REF!</f>
        <v>#REF!</v>
      </c>
      <c r="D69" s="11" t="e">
        <f>C69/$C$90</f>
        <v>#REF!</v>
      </c>
      <c r="E69" s="14"/>
      <c r="F69" s="19"/>
      <c r="G69" s="19"/>
      <c r="H69" s="36">
        <v>0.05</v>
      </c>
      <c r="I69" s="36">
        <v>0.05</v>
      </c>
      <c r="J69" s="36">
        <v>0.1</v>
      </c>
      <c r="K69" s="36">
        <v>0.2</v>
      </c>
      <c r="L69" s="36">
        <v>0.25</v>
      </c>
      <c r="M69" s="36">
        <v>0.25</v>
      </c>
      <c r="N69" s="36">
        <v>0.1</v>
      </c>
      <c r="P69" s="278"/>
    </row>
    <row r="70" spans="1:18" hidden="1">
      <c r="A70" s="14"/>
      <c r="B70" s="17"/>
      <c r="C70" s="35"/>
      <c r="D70" s="14"/>
      <c r="E70" s="14"/>
      <c r="F70" s="14"/>
      <c r="G70" s="14"/>
      <c r="H70" s="19" t="e">
        <f>H69*$C69</f>
        <v>#REF!</v>
      </c>
      <c r="I70" s="19" t="e">
        <f t="shared" ref="I70:N70" si="50">I69*$C69</f>
        <v>#REF!</v>
      </c>
      <c r="J70" s="19" t="e">
        <f t="shared" si="50"/>
        <v>#REF!</v>
      </c>
      <c r="K70" s="19" t="e">
        <f t="shared" si="50"/>
        <v>#REF!</v>
      </c>
      <c r="L70" s="19" t="e">
        <f t="shared" si="50"/>
        <v>#REF!</v>
      </c>
      <c r="M70" s="19" t="e">
        <f t="shared" si="50"/>
        <v>#REF!</v>
      </c>
      <c r="N70" s="19" t="e">
        <f t="shared" si="50"/>
        <v>#REF!</v>
      </c>
      <c r="P70" s="278"/>
      <c r="R70" s="279">
        <f t="shared" ref="R70" si="51">SUM(E70:G70)</f>
        <v>0</v>
      </c>
    </row>
    <row r="71" spans="1:18" hidden="1">
      <c r="A71" s="321">
        <v>31</v>
      </c>
      <c r="B71" s="171" t="e">
        <f>VLOOKUP(A71,'II - ORÇAMENTO'!$A$137:$I$256,2,FALSE)</f>
        <v>#N/A</v>
      </c>
      <c r="C71" s="35" t="e">
        <f>+'II - ORÇAMENTO'!#REF!</f>
        <v>#REF!</v>
      </c>
      <c r="D71" s="11" t="e">
        <f t="shared" ref="D71" si="52">C71/$C$90</f>
        <v>#REF!</v>
      </c>
      <c r="E71" s="14"/>
      <c r="F71" s="19"/>
      <c r="G71" s="19"/>
      <c r="H71" s="172"/>
      <c r="I71" s="172"/>
      <c r="J71" s="172"/>
      <c r="K71" s="20">
        <v>0.3</v>
      </c>
      <c r="L71" s="20">
        <v>0.25</v>
      </c>
      <c r="M71" s="20">
        <v>0.4</v>
      </c>
      <c r="N71" s="20">
        <v>0.05</v>
      </c>
      <c r="P71" s="278"/>
    </row>
    <row r="72" spans="1:18" hidden="1">
      <c r="A72" s="14"/>
      <c r="B72" s="17"/>
      <c r="C72" s="35"/>
      <c r="D72" s="14"/>
      <c r="E72" s="14"/>
      <c r="F72" s="14"/>
      <c r="G72" s="14"/>
      <c r="H72" s="172"/>
      <c r="I72" s="172"/>
      <c r="J72" s="172"/>
      <c r="K72" s="33" t="e">
        <f>K71*$C71</f>
        <v>#REF!</v>
      </c>
      <c r="L72" s="33" t="e">
        <f t="shared" ref="L72:N72" si="53">L71*$C71</f>
        <v>#REF!</v>
      </c>
      <c r="M72" s="33" t="e">
        <f t="shared" si="53"/>
        <v>#REF!</v>
      </c>
      <c r="N72" s="34" t="e">
        <f t="shared" si="53"/>
        <v>#REF!</v>
      </c>
      <c r="P72" s="278"/>
      <c r="R72" s="279">
        <f t="shared" ref="R72" si="54">SUM(E72:G72)</f>
        <v>0</v>
      </c>
    </row>
    <row r="73" spans="1:18" hidden="1">
      <c r="A73" s="321">
        <v>32</v>
      </c>
      <c r="B73" s="171" t="e">
        <f>VLOOKUP(A73,'II - ORÇAMENTO'!$A$137:$I$256,2,FALSE)</f>
        <v>#N/A</v>
      </c>
      <c r="C73" s="35" t="e">
        <f>+'II - ORÇAMENTO'!#REF!</f>
        <v>#REF!</v>
      </c>
      <c r="D73" s="11" t="e">
        <f t="shared" ref="D73" si="55">C73/$C$90</f>
        <v>#REF!</v>
      </c>
      <c r="E73" s="14"/>
      <c r="F73" s="19"/>
      <c r="G73" s="19"/>
      <c r="H73" s="172"/>
      <c r="I73" s="20">
        <v>0.1</v>
      </c>
      <c r="J73" s="20">
        <v>0.2</v>
      </c>
      <c r="K73" s="20">
        <v>0.3</v>
      </c>
      <c r="L73" s="20">
        <v>0.2</v>
      </c>
      <c r="M73" s="32">
        <v>0.1</v>
      </c>
      <c r="N73" s="32">
        <v>0.1</v>
      </c>
      <c r="P73" s="278"/>
    </row>
    <row r="74" spans="1:18" hidden="1">
      <c r="A74" s="14"/>
      <c r="B74" s="17"/>
      <c r="C74" s="35"/>
      <c r="D74" s="14"/>
      <c r="E74" s="14"/>
      <c r="F74" s="14"/>
      <c r="G74" s="14"/>
      <c r="H74" s="172"/>
      <c r="I74" s="19" t="e">
        <f>$C$73*I73</f>
        <v>#REF!</v>
      </c>
      <c r="J74" s="19" t="e">
        <f t="shared" ref="J74:N74" si="56">$C$73*J73</f>
        <v>#REF!</v>
      </c>
      <c r="K74" s="19" t="e">
        <f t="shared" si="56"/>
        <v>#REF!</v>
      </c>
      <c r="L74" s="19" t="e">
        <f t="shared" si="56"/>
        <v>#REF!</v>
      </c>
      <c r="M74" s="19" t="e">
        <f t="shared" si="56"/>
        <v>#REF!</v>
      </c>
      <c r="N74" s="19" t="e">
        <f t="shared" si="56"/>
        <v>#REF!</v>
      </c>
      <c r="P74" s="278"/>
      <c r="R74" s="279">
        <f t="shared" ref="R74" si="57">SUM(E74:G74)</f>
        <v>0</v>
      </c>
    </row>
    <row r="75" spans="1:18" hidden="1">
      <c r="A75" s="321">
        <v>33</v>
      </c>
      <c r="B75" s="171" t="e">
        <f>VLOOKUP(A75,'II - ORÇAMENTO'!$A$137:$I$256,2,FALSE)</f>
        <v>#N/A</v>
      </c>
      <c r="C75" s="35" t="e">
        <f>+'II - ORÇAMENTO'!#REF!</f>
        <v>#REF!</v>
      </c>
      <c r="D75" s="11" t="e">
        <f t="shared" ref="D75" si="58">C75/$C$90</f>
        <v>#REF!</v>
      </c>
      <c r="E75" s="14"/>
      <c r="F75" s="19"/>
      <c r="G75" s="19"/>
      <c r="H75" s="172"/>
      <c r="I75" s="172"/>
      <c r="J75" s="20">
        <v>0.2</v>
      </c>
      <c r="K75" s="20">
        <v>0.2</v>
      </c>
      <c r="L75" s="27">
        <v>0.3</v>
      </c>
      <c r="M75" s="20">
        <v>0.25</v>
      </c>
      <c r="N75" s="20">
        <v>0.05</v>
      </c>
      <c r="P75" s="278"/>
    </row>
    <row r="76" spans="1:18" hidden="1">
      <c r="A76" s="14"/>
      <c r="B76" s="17"/>
      <c r="C76" s="35"/>
      <c r="D76" s="14"/>
      <c r="E76" s="14"/>
      <c r="F76" s="14"/>
      <c r="G76" s="14"/>
      <c r="H76" s="172"/>
      <c r="I76" s="172"/>
      <c r="J76" s="19" t="e">
        <f>$C$75*J75</f>
        <v>#REF!</v>
      </c>
      <c r="K76" s="19" t="e">
        <f t="shared" ref="K76:N76" si="59">$C$75*K75</f>
        <v>#REF!</v>
      </c>
      <c r="L76" s="19" t="e">
        <f t="shared" si="59"/>
        <v>#REF!</v>
      </c>
      <c r="M76" s="19" t="e">
        <f t="shared" si="59"/>
        <v>#REF!</v>
      </c>
      <c r="N76" s="19" t="e">
        <f t="shared" si="59"/>
        <v>#REF!</v>
      </c>
      <c r="P76" s="278"/>
      <c r="R76" s="279">
        <f t="shared" ref="R76" si="60">SUM(E76:G76)</f>
        <v>0</v>
      </c>
    </row>
    <row r="77" spans="1:18" hidden="1">
      <c r="A77" s="321">
        <v>34</v>
      </c>
      <c r="B77" s="171" t="e">
        <f>VLOOKUP(A77,'II - ORÇAMENTO'!$A$137:$I$256,2,FALSE)</f>
        <v>#N/A</v>
      </c>
      <c r="C77" s="35" t="e">
        <f>+'II - ORÇAMENTO'!#REF!</f>
        <v>#REF!</v>
      </c>
      <c r="D77" s="11" t="e">
        <f t="shared" ref="D77" si="61">C77/$C$90</f>
        <v>#REF!</v>
      </c>
      <c r="E77" s="14"/>
      <c r="F77" s="19"/>
      <c r="G77" s="19"/>
      <c r="H77" s="172"/>
      <c r="I77" s="20">
        <v>0.2</v>
      </c>
      <c r="J77" s="20">
        <v>0.2</v>
      </c>
      <c r="K77" s="20">
        <v>0.2</v>
      </c>
      <c r="L77" s="27">
        <v>0.2</v>
      </c>
      <c r="M77" s="20">
        <v>0.2</v>
      </c>
      <c r="N77" s="172"/>
      <c r="P77" s="278"/>
    </row>
    <row r="78" spans="1:18" hidden="1">
      <c r="A78" s="14"/>
      <c r="B78" s="17"/>
      <c r="C78" s="35"/>
      <c r="D78" s="14"/>
      <c r="E78" s="14"/>
      <c r="F78" s="14"/>
      <c r="G78" s="14"/>
      <c r="H78" s="172"/>
      <c r="I78" s="19" t="e">
        <f>$C$77*I77</f>
        <v>#REF!</v>
      </c>
      <c r="J78" s="19" t="e">
        <f t="shared" ref="J78:M78" si="62">$C$77*J77</f>
        <v>#REF!</v>
      </c>
      <c r="K78" s="19" t="e">
        <f t="shared" si="62"/>
        <v>#REF!</v>
      </c>
      <c r="L78" s="19" t="e">
        <f t="shared" si="62"/>
        <v>#REF!</v>
      </c>
      <c r="M78" s="19" t="e">
        <f t="shared" si="62"/>
        <v>#REF!</v>
      </c>
      <c r="N78" s="172"/>
      <c r="P78" s="278"/>
      <c r="R78" s="279">
        <f t="shared" ref="R78" si="63">SUM(E78:G78)</f>
        <v>0</v>
      </c>
    </row>
    <row r="79" spans="1:18" hidden="1">
      <c r="A79" s="321">
        <v>35</v>
      </c>
      <c r="B79" s="171" t="e">
        <f>VLOOKUP(A79,'II - ORÇAMENTO'!$A$137:$I$256,2,FALSE)</f>
        <v>#N/A</v>
      </c>
      <c r="C79" s="35" t="e">
        <f>+'II - ORÇAMENTO'!#REF!</f>
        <v>#REF!</v>
      </c>
      <c r="D79" s="11" t="e">
        <f t="shared" ref="D79" si="64">C79/$C$90</f>
        <v>#REF!</v>
      </c>
      <c r="E79" s="14"/>
      <c r="F79" s="19"/>
      <c r="G79" s="19"/>
      <c r="H79" s="36">
        <v>0.05</v>
      </c>
      <c r="I79" s="36">
        <v>0.05</v>
      </c>
      <c r="J79" s="36">
        <v>0.1</v>
      </c>
      <c r="K79" s="36">
        <v>0.2</v>
      </c>
      <c r="L79" s="36">
        <v>0.25</v>
      </c>
      <c r="M79" s="36">
        <v>0.25</v>
      </c>
      <c r="N79" s="36">
        <v>0.1</v>
      </c>
      <c r="P79" s="278"/>
    </row>
    <row r="80" spans="1:18" hidden="1">
      <c r="A80" s="14"/>
      <c r="B80" s="17"/>
      <c r="C80" s="35"/>
      <c r="D80" s="14"/>
      <c r="E80" s="14"/>
      <c r="F80" s="14"/>
      <c r="G80" s="14"/>
      <c r="H80" s="19" t="e">
        <f>H79*$C$79</f>
        <v>#REF!</v>
      </c>
      <c r="I80" s="19" t="e">
        <f t="shared" ref="I80:N80" si="65">I79*$C$79</f>
        <v>#REF!</v>
      </c>
      <c r="J80" s="19" t="e">
        <f t="shared" si="65"/>
        <v>#REF!</v>
      </c>
      <c r="K80" s="19" t="e">
        <f t="shared" si="65"/>
        <v>#REF!</v>
      </c>
      <c r="L80" s="19" t="e">
        <f t="shared" si="65"/>
        <v>#REF!</v>
      </c>
      <c r="M80" s="19" t="e">
        <f t="shared" si="65"/>
        <v>#REF!</v>
      </c>
      <c r="N80" s="19" t="e">
        <f t="shared" si="65"/>
        <v>#REF!</v>
      </c>
      <c r="P80" s="278"/>
      <c r="R80" s="279">
        <f t="shared" ref="R80" si="66">SUM(E80:G80)</f>
        <v>0</v>
      </c>
    </row>
    <row r="81" spans="1:18" hidden="1">
      <c r="A81" s="321">
        <v>36</v>
      </c>
      <c r="B81" s="171" t="e">
        <f>VLOOKUP(A81,'II - ORÇAMENTO'!$A$137:$I$256,2,FALSE)</f>
        <v>#N/A</v>
      </c>
      <c r="C81" s="35" t="e">
        <f>+'II - ORÇAMENTO'!#REF!</f>
        <v>#REF!</v>
      </c>
      <c r="D81" s="11" t="e">
        <f t="shared" ref="D81" si="67">C81/$C$90</f>
        <v>#REF!</v>
      </c>
      <c r="E81" s="14"/>
      <c r="F81" s="19"/>
      <c r="G81" s="19"/>
      <c r="H81" s="172"/>
      <c r="I81" s="20">
        <v>0.05</v>
      </c>
      <c r="J81" s="20">
        <v>0.1</v>
      </c>
      <c r="K81" s="20">
        <v>0.1</v>
      </c>
      <c r="L81" s="20">
        <v>0.2</v>
      </c>
      <c r="M81" s="20">
        <v>0.3</v>
      </c>
      <c r="N81" s="20">
        <v>0.25</v>
      </c>
      <c r="P81" s="278"/>
    </row>
    <row r="82" spans="1:18" hidden="1">
      <c r="A82" s="14"/>
      <c r="B82" s="17"/>
      <c r="C82" s="35"/>
      <c r="D82" s="14"/>
      <c r="E82" s="14"/>
      <c r="F82" s="14"/>
      <c r="G82" s="14"/>
      <c r="H82" s="172"/>
      <c r="I82" s="19" t="e">
        <f>I81*$C$81</f>
        <v>#REF!</v>
      </c>
      <c r="J82" s="19" t="e">
        <f t="shared" ref="J82:N82" si="68">J81*$C$81</f>
        <v>#REF!</v>
      </c>
      <c r="K82" s="19" t="e">
        <f t="shared" si="68"/>
        <v>#REF!</v>
      </c>
      <c r="L82" s="19" t="e">
        <f t="shared" si="68"/>
        <v>#REF!</v>
      </c>
      <c r="M82" s="19" t="e">
        <f t="shared" si="68"/>
        <v>#REF!</v>
      </c>
      <c r="N82" s="19" t="e">
        <f t="shared" si="68"/>
        <v>#REF!</v>
      </c>
      <c r="P82" s="278"/>
      <c r="R82" s="279">
        <f t="shared" ref="R82" si="69">SUM(E82:G82)</f>
        <v>0</v>
      </c>
    </row>
    <row r="83" spans="1:18" hidden="1">
      <c r="A83" s="321">
        <v>37</v>
      </c>
      <c r="B83" s="171" t="e">
        <f>VLOOKUP(A83,'II - ORÇAMENTO'!$A$137:$I$256,2,FALSE)</f>
        <v>#N/A</v>
      </c>
      <c r="C83" s="35" t="e">
        <f>+'II - ORÇAMENTO'!#REF!</f>
        <v>#REF!</v>
      </c>
      <c r="D83" s="11" t="e">
        <f t="shared" ref="D83" si="70">C83/$C$90</f>
        <v>#REF!</v>
      </c>
      <c r="E83" s="14"/>
      <c r="F83" s="19"/>
      <c r="G83" s="19"/>
      <c r="H83" s="172"/>
      <c r="I83" s="172"/>
      <c r="J83" s="20">
        <v>0.2</v>
      </c>
      <c r="K83" s="20">
        <v>0.2</v>
      </c>
      <c r="L83" s="27">
        <v>0.3</v>
      </c>
      <c r="M83" s="20">
        <v>0.25</v>
      </c>
      <c r="N83" s="20">
        <v>0.05</v>
      </c>
      <c r="P83" s="278"/>
    </row>
    <row r="84" spans="1:18" hidden="1">
      <c r="A84" s="14"/>
      <c r="B84" s="17"/>
      <c r="C84" s="35"/>
      <c r="D84" s="14"/>
      <c r="E84" s="14"/>
      <c r="F84" s="14"/>
      <c r="G84" s="14"/>
      <c r="H84" s="172"/>
      <c r="I84" s="172"/>
      <c r="J84" s="19" t="e">
        <f>$C$83*J83</f>
        <v>#REF!</v>
      </c>
      <c r="K84" s="19" t="e">
        <f t="shared" ref="K84:N84" si="71">$C$83*K83</f>
        <v>#REF!</v>
      </c>
      <c r="L84" s="19" t="e">
        <f t="shared" si="71"/>
        <v>#REF!</v>
      </c>
      <c r="M84" s="19" t="e">
        <f t="shared" si="71"/>
        <v>#REF!</v>
      </c>
      <c r="N84" s="19" t="e">
        <f t="shared" si="71"/>
        <v>#REF!</v>
      </c>
      <c r="P84" s="278"/>
      <c r="R84" s="279">
        <f t="shared" ref="R84" si="72">SUM(E84:G84)</f>
        <v>0</v>
      </c>
    </row>
    <row r="85" spans="1:18" hidden="1">
      <c r="A85" s="321">
        <v>38</v>
      </c>
      <c r="B85" s="171" t="e">
        <f>VLOOKUP(A85,'II - ORÇAMENTO'!$A$137:$I$256,2,FALSE)</f>
        <v>#N/A</v>
      </c>
      <c r="C85" s="35" t="e">
        <f>+'II - ORÇAMENTO'!#REF!</f>
        <v>#REF!</v>
      </c>
      <c r="D85" s="11" t="e">
        <f t="shared" ref="D85" si="73">C85/$C$90</f>
        <v>#REF!</v>
      </c>
      <c r="E85" s="14"/>
      <c r="F85" s="19"/>
      <c r="G85" s="19"/>
      <c r="H85" s="172"/>
      <c r="I85" s="172"/>
      <c r="J85" s="36">
        <v>0.2</v>
      </c>
      <c r="K85" s="19"/>
      <c r="L85" s="26"/>
      <c r="M85" s="19"/>
      <c r="N85" s="37">
        <v>0.8</v>
      </c>
      <c r="P85" s="278"/>
    </row>
    <row r="86" spans="1:18" hidden="1">
      <c r="A86" s="14"/>
      <c r="B86" s="17"/>
      <c r="C86" s="35"/>
      <c r="D86" s="14"/>
      <c r="E86" s="14"/>
      <c r="F86" s="14"/>
      <c r="G86" s="14"/>
      <c r="H86" s="172"/>
      <c r="I86" s="172"/>
      <c r="J86" s="19" t="e">
        <f>$C$85*J85</f>
        <v>#REF!</v>
      </c>
      <c r="K86" s="19"/>
      <c r="L86" s="26"/>
      <c r="M86" s="19"/>
      <c r="N86" s="19" t="e">
        <f>$C$85*N85</f>
        <v>#REF!</v>
      </c>
      <c r="P86" s="278"/>
      <c r="R86" s="279">
        <f t="shared" ref="R86" si="74">SUM(E86:G86)</f>
        <v>0</v>
      </c>
    </row>
    <row r="87" spans="1:18" hidden="1">
      <c r="A87" s="321">
        <v>39</v>
      </c>
      <c r="B87" s="171" t="e">
        <f>VLOOKUP(A87,'II - ORÇAMENTO'!$A$137:$I$256,2,FALSE)</f>
        <v>#N/A</v>
      </c>
      <c r="C87" s="35" t="e">
        <f>+'II - ORÇAMENTO'!#REF!</f>
        <v>#REF!</v>
      </c>
      <c r="D87" s="11" t="e">
        <f t="shared" ref="D87" si="75">C87/$C$90</f>
        <v>#REF!</v>
      </c>
      <c r="E87" s="14"/>
      <c r="F87" s="19"/>
      <c r="G87" s="19"/>
      <c r="H87" s="19"/>
      <c r="I87" s="19"/>
      <c r="J87" s="19"/>
      <c r="K87" s="38">
        <v>0.2</v>
      </c>
      <c r="L87" s="36">
        <v>0.3</v>
      </c>
      <c r="M87" s="36">
        <v>0.3</v>
      </c>
      <c r="N87" s="36">
        <v>0.2</v>
      </c>
      <c r="P87" s="278"/>
    </row>
    <row r="88" spans="1:18" hidden="1">
      <c r="A88" s="14"/>
      <c r="B88" s="14"/>
      <c r="C88" s="35"/>
      <c r="D88" s="14"/>
      <c r="E88" s="14"/>
      <c r="F88" s="14"/>
      <c r="G88" s="14"/>
      <c r="H88" s="14"/>
      <c r="I88" s="14"/>
      <c r="J88" s="14"/>
      <c r="K88" s="26" t="e">
        <f>K87*$C$87</f>
        <v>#REF!</v>
      </c>
      <c r="L88" s="26" t="e">
        <f t="shared" ref="L88:N88" si="76">L87*$C$87</f>
        <v>#REF!</v>
      </c>
      <c r="M88" s="26" t="e">
        <f t="shared" si="76"/>
        <v>#REF!</v>
      </c>
      <c r="N88" s="19" t="e">
        <f t="shared" si="76"/>
        <v>#REF!</v>
      </c>
      <c r="P88" s="278"/>
      <c r="R88" s="279">
        <f t="shared" ref="R88" si="77">SUM(E88:G88)</f>
        <v>0</v>
      </c>
    </row>
    <row r="89" spans="1:18" ht="13.5" thickBot="1">
      <c r="A89" s="318"/>
      <c r="B89" s="173"/>
      <c r="C89" s="174"/>
      <c r="D89" s="173"/>
      <c r="E89" s="173"/>
      <c r="F89" s="173"/>
      <c r="G89" s="173"/>
      <c r="H89" s="173"/>
      <c r="I89" s="173"/>
      <c r="J89" s="173"/>
      <c r="K89" s="173"/>
      <c r="L89" s="50"/>
      <c r="M89" s="173"/>
      <c r="N89" s="319"/>
      <c r="P89" s="278"/>
    </row>
    <row r="90" spans="1:18" ht="13.5" thickBot="1">
      <c r="A90" s="353" t="s">
        <v>20</v>
      </c>
      <c r="B90" s="354"/>
      <c r="C90" s="42">
        <f>+C19+C21+C23+C25+C27+C29+C31+C33+C35+C37+C39+C41+C43</f>
        <v>345542.26156477287</v>
      </c>
      <c r="D90" s="43">
        <f>+D25+D29+D31+D33+D37+D39+D41+D43+D27+D23+D21+D19+D35</f>
        <v>1.0000000000000004</v>
      </c>
      <c r="E90" s="44">
        <f>+E44+E42+E40+E38+E36+E34+E32+E30+E28+E26+E24+E22+E20</f>
        <v>144089.78315375012</v>
      </c>
      <c r="F90" s="44">
        <f>+F44+F42+F40+F38+F36+F34+F32+F30+F28+F26+F24+F22+F20</f>
        <v>135891.57000204554</v>
      </c>
      <c r="G90" s="44">
        <f>+G26+G30+G32+G34+G38+G40+G42+G44+G36+G28+G24+G22+G20</f>
        <v>65560.908408977295</v>
      </c>
      <c r="H90" s="44">
        <f>+H26+H30+H32+H34+H38+H40+H42+H44</f>
        <v>0</v>
      </c>
      <c r="I90" s="44"/>
      <c r="J90" s="44"/>
      <c r="K90" s="44"/>
      <c r="L90" s="44"/>
      <c r="M90" s="44"/>
      <c r="N90" s="44"/>
      <c r="P90" s="278"/>
      <c r="R90" s="279">
        <f>SUM(R20:R44)</f>
        <v>345542.26156477287</v>
      </c>
    </row>
    <row r="91" spans="1:18" ht="13.5" thickBot="1">
      <c r="A91" s="318"/>
      <c r="B91" s="173"/>
      <c r="C91" s="174"/>
      <c r="D91" s="173"/>
      <c r="E91" s="46">
        <f>E90/C90</f>
        <v>0.41699612227241295</v>
      </c>
      <c r="F91" s="46">
        <f>F90/C90</f>
        <v>0.3932704769213079</v>
      </c>
      <c r="G91" s="46">
        <f>G90/C90</f>
        <v>0.18973340080627943</v>
      </c>
      <c r="H91" s="46">
        <f>H90/C90</f>
        <v>0</v>
      </c>
      <c r="I91" s="46">
        <f>I90/C90</f>
        <v>0</v>
      </c>
      <c r="J91" s="46">
        <f>J90/C90</f>
        <v>0</v>
      </c>
      <c r="K91" s="46">
        <f>K90/C90</f>
        <v>0</v>
      </c>
      <c r="L91" s="47">
        <f>L90/C90</f>
        <v>0</v>
      </c>
      <c r="M91" s="47">
        <f>M90/C90</f>
        <v>0</v>
      </c>
      <c r="N91" s="47">
        <f>N90/C90</f>
        <v>0</v>
      </c>
      <c r="P91" s="278"/>
    </row>
    <row r="92" spans="1:18" ht="13.5" thickBot="1">
      <c r="A92" s="325"/>
      <c r="B92" s="175"/>
      <c r="C92" s="176"/>
      <c r="D92" s="175"/>
      <c r="E92" s="44">
        <f>+E90</f>
        <v>144089.78315375012</v>
      </c>
      <c r="F92" s="44">
        <f>+F90+E92</f>
        <v>279981.35315579566</v>
      </c>
      <c r="G92" s="44">
        <f>+G90+F92</f>
        <v>345542.26156477293</v>
      </c>
      <c r="H92" s="45">
        <f t="shared" ref="H92:M92" si="78">+H90+G92</f>
        <v>345542.26156477293</v>
      </c>
      <c r="I92" s="44">
        <f t="shared" si="78"/>
        <v>345542.26156477293</v>
      </c>
      <c r="J92" s="44">
        <f t="shared" si="78"/>
        <v>345542.26156477293</v>
      </c>
      <c r="K92" s="44">
        <f t="shared" si="78"/>
        <v>345542.26156477293</v>
      </c>
      <c r="L92" s="44">
        <f t="shared" si="78"/>
        <v>345542.26156477293</v>
      </c>
      <c r="M92" s="44">
        <f t="shared" si="78"/>
        <v>345542.26156477293</v>
      </c>
      <c r="N92" s="44">
        <f>+N90+M92</f>
        <v>345542.26156477293</v>
      </c>
    </row>
    <row r="93" spans="1:18">
      <c r="C93" s="41"/>
    </row>
  </sheetData>
  <mergeCells count="2">
    <mergeCell ref="A7:N7"/>
    <mergeCell ref="A90:B90"/>
  </mergeCells>
  <pageMargins left="0.51181102362204722" right="0.51181102362204722" top="1.1023622047244095" bottom="0.45" header="0.31496062992125984" footer="0.31496062992125984"/>
  <pageSetup paperSize="9" scale="87" fitToHeight="0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topLeftCell="A22" zoomScaleNormal="100" zoomScaleSheetLayoutView="100" workbookViewId="0">
      <selection activeCell="A6" sqref="A6"/>
    </sheetView>
  </sheetViews>
  <sheetFormatPr defaultRowHeight="12.75"/>
  <cols>
    <col min="2" max="2" width="4.85546875" customWidth="1"/>
    <col min="3" max="3" width="54.140625" customWidth="1"/>
    <col min="4" max="4" width="14.42578125" customWidth="1"/>
    <col min="5" max="5" width="11.42578125" customWidth="1"/>
  </cols>
  <sheetData>
    <row r="1" spans="1:8" ht="18">
      <c r="A1" s="355" t="s">
        <v>39</v>
      </c>
      <c r="B1" s="356"/>
      <c r="C1" s="356"/>
      <c r="D1" s="356"/>
      <c r="E1" s="357"/>
      <c r="F1" s="94"/>
      <c r="G1" s="2"/>
      <c r="H1" s="2"/>
    </row>
    <row r="2" spans="1:8" ht="14.25">
      <c r="A2" s="51" t="str">
        <f>+'II - ORÇAMENTO'!A1</f>
        <v>PROPONENTE: PREFEITURA MUNICIPAL DE DOM PEDRO-MA</v>
      </c>
      <c r="B2" s="52"/>
      <c r="C2" s="52"/>
      <c r="D2" s="53"/>
      <c r="E2" s="95"/>
      <c r="F2" s="96"/>
      <c r="G2" s="96"/>
      <c r="H2" s="96"/>
    </row>
    <row r="3" spans="1:8" ht="15">
      <c r="A3" s="56" t="str">
        <f>+'II - ORÇAMENTO'!A2</f>
        <v>OBRA:  ESCOLA 6 SALAS - CENTRO DO PRIMO (31905)</v>
      </c>
      <c r="B3" s="57"/>
      <c r="C3" s="57"/>
      <c r="D3" s="58"/>
      <c r="E3" s="97"/>
      <c r="F3" s="98"/>
    </row>
    <row r="4" spans="1:8" ht="15">
      <c r="A4" s="56" t="str">
        <f>+'II - ORÇAMENTO'!A3</f>
        <v>LOCAL: POVOADO CENTRO DO PRIMO, DOM PEDRO-MA</v>
      </c>
      <c r="B4" s="57"/>
      <c r="C4" s="57"/>
      <c r="D4" s="58"/>
      <c r="E4" s="97"/>
      <c r="F4" s="98"/>
    </row>
    <row r="5" spans="1:8" ht="14.25">
      <c r="A5" s="99" t="str">
        <f>+'II - ORÇAMENTO'!A4</f>
        <v>REF. SINAPI 03/22 (SEM DESONERAÇÃO) MARANHÃO - ORSE 02/22 - SEINFRA 027</v>
      </c>
      <c r="B5" s="100"/>
      <c r="C5" s="100"/>
      <c r="D5" s="100"/>
      <c r="E5" s="101"/>
      <c r="F5" s="102"/>
    </row>
    <row r="6" spans="1:8" ht="14.25">
      <c r="A6" s="103" t="str">
        <f>+'II - ORÇAMENTO'!A5</f>
        <v xml:space="preserve">ENCARGOS SOCIAIS SOBRE PREÇO DE MÃO-DE-OBRA: 112,90% (HORA)  </v>
      </c>
      <c r="B6" s="104"/>
      <c r="C6" s="104"/>
      <c r="D6" s="104"/>
      <c r="E6" s="105"/>
      <c r="F6" s="106"/>
    </row>
    <row r="7" spans="1:8" ht="6" customHeight="1">
      <c r="A7" s="107"/>
      <c r="B7" s="108"/>
      <c r="C7" s="108"/>
      <c r="D7" s="108"/>
      <c r="E7" s="109"/>
      <c r="F7" s="108"/>
    </row>
    <row r="8" spans="1:8" ht="15">
      <c r="A8" s="110" t="s">
        <v>40</v>
      </c>
      <c r="B8" s="111"/>
      <c r="C8" s="111"/>
      <c r="D8" s="112" t="s">
        <v>41</v>
      </c>
      <c r="E8" s="113"/>
      <c r="F8" s="145"/>
      <c r="G8" s="78"/>
    </row>
    <row r="9" spans="1:8">
      <c r="A9" s="114" t="s">
        <v>42</v>
      </c>
      <c r="B9" s="115" t="s">
        <v>42</v>
      </c>
      <c r="C9" s="115" t="s">
        <v>42</v>
      </c>
      <c r="D9" s="115" t="s">
        <v>42</v>
      </c>
      <c r="E9" s="116" t="s">
        <v>42</v>
      </c>
      <c r="F9" s="145"/>
      <c r="G9" s="78"/>
    </row>
    <row r="10" spans="1:8">
      <c r="A10" s="117" t="s">
        <v>43</v>
      </c>
      <c r="B10" s="118"/>
      <c r="C10" s="119" t="s">
        <v>44</v>
      </c>
      <c r="D10" s="120"/>
      <c r="E10" s="121"/>
      <c r="F10" s="145"/>
      <c r="G10" s="78"/>
    </row>
    <row r="11" spans="1:8">
      <c r="A11" s="122" t="s">
        <v>6</v>
      </c>
      <c r="B11" s="123"/>
      <c r="C11" s="123" t="s">
        <v>45</v>
      </c>
      <c r="D11" s="124">
        <v>0.04</v>
      </c>
      <c r="E11" s="125"/>
      <c r="F11" s="145"/>
      <c r="G11" s="78"/>
    </row>
    <row r="12" spans="1:8">
      <c r="A12" s="122"/>
      <c r="B12" s="123"/>
      <c r="C12" s="126" t="s">
        <v>46</v>
      </c>
      <c r="D12" s="127">
        <f>D11</f>
        <v>0.04</v>
      </c>
      <c r="E12" s="125"/>
      <c r="F12" s="145"/>
      <c r="G12" s="78"/>
    </row>
    <row r="13" spans="1:8">
      <c r="A13" s="117" t="s">
        <v>47</v>
      </c>
      <c r="B13" s="118"/>
      <c r="C13" s="119" t="s">
        <v>48</v>
      </c>
      <c r="D13" s="120"/>
      <c r="E13" s="121"/>
      <c r="F13" s="145"/>
      <c r="G13" s="78"/>
    </row>
    <row r="14" spans="1:8">
      <c r="A14" s="128" t="s">
        <v>7</v>
      </c>
      <c r="B14" s="123"/>
      <c r="C14" s="129" t="s">
        <v>49</v>
      </c>
      <c r="D14" s="124">
        <v>2E-3</v>
      </c>
      <c r="E14" s="125"/>
      <c r="F14" s="145"/>
      <c r="G14" s="78"/>
    </row>
    <row r="15" spans="1:8">
      <c r="A15" s="122"/>
      <c r="B15" s="123"/>
      <c r="C15" s="126" t="s">
        <v>46</v>
      </c>
      <c r="D15" s="127">
        <f>SUM(D14:D14)</f>
        <v>2E-3</v>
      </c>
      <c r="E15" s="125"/>
      <c r="F15" s="145"/>
      <c r="G15" s="78"/>
    </row>
    <row r="16" spans="1:8">
      <c r="A16" s="117">
        <v>3</v>
      </c>
      <c r="B16" s="118"/>
      <c r="C16" s="119" t="s">
        <v>50</v>
      </c>
      <c r="D16" s="120"/>
      <c r="E16" s="121"/>
      <c r="F16" s="145"/>
      <c r="G16" s="78"/>
    </row>
    <row r="17" spans="1:8">
      <c r="A17" s="128" t="s">
        <v>8</v>
      </c>
      <c r="B17" s="123"/>
      <c r="C17" s="129" t="s">
        <v>51</v>
      </c>
      <c r="D17" s="124">
        <v>2E-3</v>
      </c>
      <c r="E17" s="125"/>
      <c r="F17" s="145"/>
      <c r="G17" s="78"/>
    </row>
    <row r="18" spans="1:8">
      <c r="A18" s="122"/>
      <c r="B18" s="123"/>
      <c r="C18" s="126" t="s">
        <v>46</v>
      </c>
      <c r="D18" s="127">
        <f>SUM(D17:D17)</f>
        <v>2E-3</v>
      </c>
      <c r="E18" s="125"/>
      <c r="F18" s="145"/>
      <c r="G18" s="78"/>
    </row>
    <row r="19" spans="1:8">
      <c r="A19" s="117">
        <v>4</v>
      </c>
      <c r="B19" s="118"/>
      <c r="C19" s="119" t="s">
        <v>52</v>
      </c>
      <c r="D19" s="120"/>
      <c r="E19" s="121"/>
      <c r="F19" s="145"/>
      <c r="G19" s="78"/>
    </row>
    <row r="20" spans="1:8">
      <c r="A20" s="128" t="s">
        <v>9</v>
      </c>
      <c r="B20" s="123"/>
      <c r="C20" s="129" t="s">
        <v>53</v>
      </c>
      <c r="D20" s="124">
        <v>5.0000000000000001E-3</v>
      </c>
      <c r="E20" s="125"/>
      <c r="F20" s="145"/>
      <c r="G20" s="78"/>
    </row>
    <row r="21" spans="1:8">
      <c r="A21" s="122"/>
      <c r="B21" s="123"/>
      <c r="C21" s="126" t="s">
        <v>46</v>
      </c>
      <c r="D21" s="127">
        <f>D20</f>
        <v>5.0000000000000001E-3</v>
      </c>
      <c r="E21" s="125"/>
      <c r="F21" s="145"/>
      <c r="G21" s="78"/>
    </row>
    <row r="22" spans="1:8">
      <c r="A22" s="117">
        <v>5</v>
      </c>
      <c r="B22" s="118"/>
      <c r="C22" s="119" t="s">
        <v>54</v>
      </c>
      <c r="D22" s="120"/>
      <c r="E22" s="121"/>
      <c r="F22" s="145"/>
      <c r="G22" s="78"/>
    </row>
    <row r="23" spans="1:8">
      <c r="A23" s="128" t="s">
        <v>10</v>
      </c>
      <c r="B23" s="123"/>
      <c r="C23" s="129" t="s">
        <v>55</v>
      </c>
      <c r="D23" s="124">
        <v>1.4999999999999999E-2</v>
      </c>
      <c r="E23" s="125"/>
      <c r="F23" s="145"/>
      <c r="G23" s="78"/>
    </row>
    <row r="24" spans="1:8">
      <c r="A24" s="122"/>
      <c r="B24" s="123"/>
      <c r="C24" s="126" t="s">
        <v>46</v>
      </c>
      <c r="D24" s="127">
        <f>D23</f>
        <v>1.4999999999999999E-2</v>
      </c>
      <c r="E24" s="125"/>
      <c r="F24" s="145"/>
      <c r="G24" s="78"/>
    </row>
    <row r="25" spans="1:8">
      <c r="A25" s="117">
        <v>6</v>
      </c>
      <c r="B25" s="118"/>
      <c r="C25" s="119" t="s">
        <v>56</v>
      </c>
      <c r="D25" s="120"/>
      <c r="E25" s="121"/>
      <c r="F25" s="145"/>
      <c r="G25" s="78"/>
    </row>
    <row r="26" spans="1:8">
      <c r="A26" s="128" t="s">
        <v>11</v>
      </c>
      <c r="B26" s="123"/>
      <c r="C26" s="129" t="s">
        <v>57</v>
      </c>
      <c r="D26" s="124">
        <v>0.03</v>
      </c>
      <c r="E26" s="125"/>
      <c r="F26" s="145"/>
      <c r="G26" s="78"/>
    </row>
    <row r="27" spans="1:8">
      <c r="A27" s="128" t="s">
        <v>12</v>
      </c>
      <c r="B27" s="123"/>
      <c r="C27" s="129" t="s">
        <v>58</v>
      </c>
      <c r="D27" s="124">
        <v>0.05</v>
      </c>
      <c r="E27" s="125"/>
      <c r="F27" s="145"/>
      <c r="G27" s="78"/>
    </row>
    <row r="28" spans="1:8">
      <c r="A28" s="128" t="s">
        <v>13</v>
      </c>
      <c r="B28" s="123"/>
      <c r="C28" s="129" t="s">
        <v>59</v>
      </c>
      <c r="D28" s="124">
        <v>6.4999999999999997E-3</v>
      </c>
      <c r="E28" s="125"/>
      <c r="F28" s="145"/>
      <c r="G28" s="78"/>
    </row>
    <row r="29" spans="1:8">
      <c r="A29" s="122"/>
      <c r="B29" s="123"/>
      <c r="C29" s="126" t="s">
        <v>46</v>
      </c>
      <c r="D29" s="127">
        <f>SUM(D26:D28)</f>
        <v>8.6500000000000007E-2</v>
      </c>
      <c r="E29" s="125"/>
      <c r="F29" s="145"/>
      <c r="G29" s="78"/>
    </row>
    <row r="30" spans="1:8">
      <c r="A30" s="117">
        <v>7</v>
      </c>
      <c r="B30" s="130"/>
      <c r="C30" s="119" t="s">
        <v>60</v>
      </c>
      <c r="D30" s="131"/>
      <c r="E30" s="132"/>
      <c r="F30" s="2"/>
    </row>
    <row r="31" spans="1:8">
      <c r="A31" s="128" t="s">
        <v>14</v>
      </c>
      <c r="B31" s="123"/>
      <c r="C31" s="129" t="s">
        <v>61</v>
      </c>
      <c r="D31" s="124">
        <v>7.2489999999999999E-2</v>
      </c>
      <c r="E31" s="125"/>
      <c r="F31" s="2"/>
      <c r="G31" s="133"/>
      <c r="H31" s="134"/>
    </row>
    <row r="32" spans="1:8" ht="13.5" thickBot="1">
      <c r="A32" s="122"/>
      <c r="B32" s="123"/>
      <c r="C32" s="126" t="s">
        <v>46</v>
      </c>
      <c r="D32" s="127">
        <f>SUM(D31:D31)</f>
        <v>7.2489999999999999E-2</v>
      </c>
      <c r="E32" s="125"/>
      <c r="F32" s="2"/>
      <c r="G32" s="133"/>
      <c r="H32" s="134"/>
    </row>
    <row r="33" spans="1:8" ht="13.5" thickBot="1">
      <c r="A33" s="135"/>
      <c r="B33" s="136"/>
      <c r="C33" s="137" t="s">
        <v>62</v>
      </c>
      <c r="D33" s="136"/>
      <c r="E33" s="138">
        <f>G40</f>
        <v>0.25004667777777745</v>
      </c>
      <c r="F33" s="2"/>
      <c r="G33" s="133"/>
      <c r="H33" s="134"/>
    </row>
    <row r="34" spans="1:8">
      <c r="A34" s="139"/>
      <c r="B34" s="140"/>
      <c r="C34" s="140"/>
      <c r="D34" s="140"/>
      <c r="E34" s="141"/>
      <c r="F34" s="2"/>
      <c r="G34" s="2"/>
      <c r="H34" s="134"/>
    </row>
    <row r="35" spans="1:8">
      <c r="A35" s="139"/>
      <c r="B35" s="140"/>
      <c r="C35" s="140"/>
      <c r="D35" s="140"/>
      <c r="E35" s="141"/>
      <c r="F35" s="2"/>
      <c r="G35" s="2"/>
      <c r="H35" s="134"/>
    </row>
    <row r="36" spans="1:8">
      <c r="A36" s="139"/>
      <c r="B36" s="140"/>
      <c r="C36" s="140"/>
      <c r="D36" s="140"/>
      <c r="E36" s="141"/>
      <c r="F36" s="2"/>
      <c r="G36" s="2"/>
      <c r="H36" s="134"/>
    </row>
    <row r="37" spans="1:8">
      <c r="A37" s="139"/>
      <c r="B37" s="123" t="s">
        <v>63</v>
      </c>
      <c r="C37" s="123"/>
      <c r="D37" s="140"/>
      <c r="E37" s="141"/>
      <c r="F37" s="2"/>
      <c r="G37" s="2"/>
      <c r="H37" s="134"/>
    </row>
    <row r="38" spans="1:8">
      <c r="A38" s="139"/>
      <c r="B38" s="140" t="s">
        <v>64</v>
      </c>
      <c r="C38" s="140"/>
      <c r="D38" s="142">
        <f>D12</f>
        <v>0.04</v>
      </c>
      <c r="E38" s="141"/>
      <c r="F38" s="2"/>
      <c r="G38" s="2"/>
      <c r="H38" s="134"/>
    </row>
    <row r="39" spans="1:8">
      <c r="A39" s="139"/>
      <c r="B39" s="140" t="s">
        <v>65</v>
      </c>
      <c r="C39" s="140"/>
      <c r="D39" s="142">
        <f>D15</f>
        <v>2E-3</v>
      </c>
      <c r="E39" s="141"/>
      <c r="F39" s="2"/>
      <c r="G39" s="2"/>
      <c r="H39" s="134"/>
    </row>
    <row r="40" spans="1:8">
      <c r="A40" s="139"/>
      <c r="B40" s="143" t="s">
        <v>66</v>
      </c>
      <c r="C40" s="140"/>
      <c r="D40" s="142">
        <f>D21</f>
        <v>5.0000000000000001E-3</v>
      </c>
      <c r="E40" s="141"/>
      <c r="F40" s="2"/>
      <c r="G40" s="2">
        <f>(((1+D38+D39+D40+D41)*(1+D42)*(1+D43))/(1-D44))-1</f>
        <v>0.25004667777777745</v>
      </c>
      <c r="H40" s="134"/>
    </row>
    <row r="41" spans="1:8">
      <c r="A41" s="139"/>
      <c r="B41" s="140" t="s">
        <v>67</v>
      </c>
      <c r="C41" s="140"/>
      <c r="D41" s="142">
        <f>D18</f>
        <v>2E-3</v>
      </c>
      <c r="E41" s="141"/>
      <c r="F41" s="2"/>
      <c r="G41" s="2"/>
      <c r="H41" s="134"/>
    </row>
    <row r="42" spans="1:8">
      <c r="A42" s="139"/>
      <c r="B42" s="140" t="s">
        <v>68</v>
      </c>
      <c r="C42" s="140"/>
      <c r="D42" s="142">
        <f>D24</f>
        <v>1.4999999999999999E-2</v>
      </c>
      <c r="E42" s="141"/>
      <c r="F42" s="2"/>
      <c r="G42" s="2"/>
      <c r="H42" s="134"/>
    </row>
    <row r="43" spans="1:8">
      <c r="A43" s="139"/>
      <c r="B43" s="140" t="s">
        <v>69</v>
      </c>
      <c r="C43" s="140"/>
      <c r="D43" s="142">
        <f>D32</f>
        <v>7.2489999999999999E-2</v>
      </c>
      <c r="E43" s="141"/>
    </row>
    <row r="44" spans="1:8" ht="13.5" thickBot="1">
      <c r="A44" s="139"/>
      <c r="B44" s="140" t="s">
        <v>70</v>
      </c>
      <c r="C44" s="140"/>
      <c r="D44" s="142">
        <f>D29</f>
        <v>8.6500000000000007E-2</v>
      </c>
      <c r="E44" s="141"/>
      <c r="F44" s="2"/>
      <c r="G44" s="2"/>
      <c r="H44" s="2"/>
    </row>
    <row r="45" spans="1:8">
      <c r="A45" s="358" t="s">
        <v>71</v>
      </c>
      <c r="B45" s="359"/>
      <c r="C45" s="359"/>
      <c r="D45" s="359"/>
      <c r="E45" s="360"/>
      <c r="F45" s="2"/>
      <c r="G45" s="2"/>
      <c r="H45" s="2"/>
    </row>
    <row r="46" spans="1:8">
      <c r="A46" s="361"/>
      <c r="B46" s="362"/>
      <c r="C46" s="362"/>
      <c r="D46" s="362"/>
      <c r="E46" s="363"/>
      <c r="F46" s="2"/>
      <c r="G46" s="2"/>
      <c r="H46" s="2"/>
    </row>
    <row r="47" spans="1:8">
      <c r="A47" s="83"/>
      <c r="B47" s="78"/>
      <c r="C47" s="78"/>
      <c r="D47" s="78"/>
      <c r="E47" s="79"/>
    </row>
    <row r="48" spans="1:8">
      <c r="A48" s="144"/>
      <c r="B48" s="81"/>
      <c r="C48" s="81"/>
      <c r="D48" s="81"/>
      <c r="E48" s="82"/>
    </row>
  </sheetData>
  <mergeCells count="2">
    <mergeCell ref="A1:E1"/>
    <mergeCell ref="A45:E46"/>
  </mergeCells>
  <pageMargins left="0.51181102362204722" right="0.51181102362204722" top="1.1023622047244095" bottom="0.78740157480314965" header="0.31496062992125984" footer="0.31496062992125984"/>
  <pageSetup paperSize="9" scale="98" fitToHeight="0" orientation="portrait" r:id="rId1"/>
  <headerFooter>
    <oddHeader>&amp;C&amp;G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4097" r:id="rId5">
          <objectPr defaultSize="0" autoPict="0" r:id="rId6">
            <anchor moveWithCells="1" sizeWithCells="1">
              <from>
                <xdr:col>2</xdr:col>
                <xdr:colOff>752475</xdr:colOff>
                <xdr:row>33</xdr:row>
                <xdr:rowOff>123825</xdr:rowOff>
              </from>
              <to>
                <xdr:col>2</xdr:col>
                <xdr:colOff>3571875</xdr:colOff>
                <xdr:row>36</xdr:row>
                <xdr:rowOff>76200</xdr:rowOff>
              </to>
            </anchor>
          </objectPr>
        </oleObject>
      </mc:Choice>
      <mc:Fallback>
        <oleObject progId="Equation.3" shapeId="4097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view="pageBreakPreview" zoomScale="85" zoomScaleNormal="85" zoomScaleSheetLayoutView="85" workbookViewId="0">
      <selection activeCell="A6" sqref="A6"/>
    </sheetView>
  </sheetViews>
  <sheetFormatPr defaultColWidth="10" defaultRowHeight="14.25"/>
  <cols>
    <col min="1" max="1" width="11.85546875" style="154" customWidth="1"/>
    <col min="2" max="2" width="34.28515625" style="146" customWidth="1"/>
    <col min="3" max="6" width="15.140625" style="146" customWidth="1"/>
    <col min="7" max="16384" width="10" style="146"/>
  </cols>
  <sheetData>
    <row r="1" spans="1:8" ht="15.75">
      <c r="A1" s="364" t="s">
        <v>72</v>
      </c>
      <c r="B1" s="365"/>
      <c r="C1" s="365"/>
      <c r="D1" s="365"/>
      <c r="E1" s="365"/>
      <c r="F1" s="366"/>
    </row>
    <row r="2" spans="1:8" ht="15">
      <c r="A2" s="367" t="str">
        <f>+'II - ORÇAMENTO'!A1</f>
        <v>PROPONENTE: PREFEITURA MUNICIPAL DE DOM PEDRO-MA</v>
      </c>
      <c r="B2" s="368"/>
      <c r="C2" s="368"/>
      <c r="D2" s="368"/>
      <c r="E2" s="368"/>
      <c r="F2" s="369"/>
    </row>
    <row r="3" spans="1:8" ht="15">
      <c r="A3" s="147" t="str">
        <f>+'II - ORÇAMENTO'!A2</f>
        <v>OBRA:  ESCOLA 6 SALAS - CENTRO DO PRIMO (31905)</v>
      </c>
      <c r="B3" s="98"/>
      <c r="C3" s="98"/>
      <c r="D3" s="98"/>
      <c r="E3" s="98"/>
      <c r="F3" s="97"/>
      <c r="G3" s="98"/>
      <c r="H3" s="98"/>
    </row>
    <row r="4" spans="1:8" ht="15">
      <c r="A4" s="276" t="str">
        <f>+'II - ORÇAMENTO'!A3</f>
        <v>LOCAL: POVOADO CENTRO DO PRIMO, DOM PEDRO-MA</v>
      </c>
      <c r="B4" s="98"/>
      <c r="C4" s="98"/>
      <c r="D4" s="98"/>
      <c r="E4" s="98"/>
      <c r="F4" s="97"/>
      <c r="G4" s="98"/>
      <c r="H4" s="98"/>
    </row>
    <row r="5" spans="1:8">
      <c r="A5" s="148" t="str">
        <f>+'II - ORÇAMENTO'!A4</f>
        <v>REF. SINAPI 03/22 (SEM DESONERAÇÃO) MARANHÃO - ORSE 02/22 - SEINFRA 027</v>
      </c>
      <c r="B5" s="149"/>
      <c r="C5" s="149"/>
      <c r="D5" s="149"/>
      <c r="E5" s="149"/>
      <c r="F5" s="150"/>
    </row>
    <row r="6" spans="1:8">
      <c r="A6" s="148" t="str">
        <f>+'II - ORÇAMENTO'!A5</f>
        <v xml:space="preserve">ENCARGOS SOCIAIS SOBRE PREÇO DE MÃO-DE-OBRA: 112,90% (HORA)  </v>
      </c>
      <c r="B6" s="149"/>
      <c r="C6" s="149"/>
      <c r="D6" s="149"/>
      <c r="E6" s="149"/>
      <c r="F6" s="150"/>
    </row>
    <row r="7" spans="1:8">
      <c r="A7" s="151"/>
      <c r="B7" s="152"/>
      <c r="C7" s="152"/>
      <c r="D7" s="152"/>
      <c r="E7" s="152"/>
      <c r="F7" s="153"/>
    </row>
    <row r="8" spans="1:8">
      <c r="A8" s="370" t="s">
        <v>73</v>
      </c>
      <c r="B8" s="371"/>
      <c r="C8" s="371"/>
      <c r="D8" s="371"/>
      <c r="E8" s="371"/>
      <c r="F8" s="372"/>
    </row>
    <row r="9" spans="1:8">
      <c r="A9" s="373" t="s">
        <v>0</v>
      </c>
      <c r="B9" s="375" t="s">
        <v>35</v>
      </c>
      <c r="C9" s="377" t="s">
        <v>75</v>
      </c>
      <c r="D9" s="377"/>
      <c r="E9" s="377" t="s">
        <v>76</v>
      </c>
      <c r="F9" s="378"/>
    </row>
    <row r="10" spans="1:8" ht="25.5">
      <c r="A10" s="374" t="s">
        <v>74</v>
      </c>
      <c r="B10" s="376" t="s">
        <v>35</v>
      </c>
      <c r="C10" s="290" t="s">
        <v>77</v>
      </c>
      <c r="D10" s="290" t="s">
        <v>78</v>
      </c>
      <c r="E10" s="290" t="s">
        <v>77</v>
      </c>
      <c r="F10" s="291" t="s">
        <v>78</v>
      </c>
    </row>
    <row r="11" spans="1:8">
      <c r="A11" s="379" t="s">
        <v>79</v>
      </c>
      <c r="B11" s="380"/>
      <c r="C11" s="380"/>
      <c r="D11" s="380"/>
      <c r="E11" s="380"/>
      <c r="F11" s="381"/>
    </row>
    <row r="12" spans="1:8">
      <c r="A12" s="292" t="s">
        <v>80</v>
      </c>
      <c r="B12" s="293" t="s">
        <v>81</v>
      </c>
      <c r="C12" s="294">
        <v>0</v>
      </c>
      <c r="D12" s="294">
        <v>0</v>
      </c>
      <c r="E12" s="294">
        <v>0.2</v>
      </c>
      <c r="F12" s="295">
        <v>0.2</v>
      </c>
    </row>
    <row r="13" spans="1:8">
      <c r="A13" s="292" t="s">
        <v>82</v>
      </c>
      <c r="B13" s="293" t="s">
        <v>83</v>
      </c>
      <c r="C13" s="294">
        <v>1.4999999999999999E-2</v>
      </c>
      <c r="D13" s="294">
        <v>1.4999999999999999E-2</v>
      </c>
      <c r="E13" s="294">
        <v>1.4999999999999999E-2</v>
      </c>
      <c r="F13" s="295">
        <v>1.4999999999999999E-2</v>
      </c>
    </row>
    <row r="14" spans="1:8">
      <c r="A14" s="292" t="s">
        <v>84</v>
      </c>
      <c r="B14" s="293" t="s">
        <v>85</v>
      </c>
      <c r="C14" s="294">
        <v>0.01</v>
      </c>
      <c r="D14" s="294">
        <v>0.01</v>
      </c>
      <c r="E14" s="294">
        <v>0.01</v>
      </c>
      <c r="F14" s="295">
        <v>0.01</v>
      </c>
    </row>
    <row r="15" spans="1:8">
      <c r="A15" s="292" t="s">
        <v>86</v>
      </c>
      <c r="B15" s="293" t="s">
        <v>87</v>
      </c>
      <c r="C15" s="294">
        <v>2E-3</v>
      </c>
      <c r="D15" s="294">
        <v>2E-3</v>
      </c>
      <c r="E15" s="294">
        <v>2E-3</v>
      </c>
      <c r="F15" s="295">
        <v>2E-3</v>
      </c>
    </row>
    <row r="16" spans="1:8">
      <c r="A16" s="292" t="s">
        <v>88</v>
      </c>
      <c r="B16" s="293" t="s">
        <v>89</v>
      </c>
      <c r="C16" s="294">
        <v>6.0000000000000001E-3</v>
      </c>
      <c r="D16" s="294">
        <v>6.0000000000000001E-3</v>
      </c>
      <c r="E16" s="294">
        <v>6.0000000000000001E-3</v>
      </c>
      <c r="F16" s="295">
        <v>6.0000000000000001E-3</v>
      </c>
    </row>
    <row r="17" spans="1:6">
      <c r="A17" s="292" t="s">
        <v>90</v>
      </c>
      <c r="B17" s="293" t="s">
        <v>91</v>
      </c>
      <c r="C17" s="294">
        <v>2.5000000000000001E-2</v>
      </c>
      <c r="D17" s="294">
        <v>2.5000000000000001E-2</v>
      </c>
      <c r="E17" s="294">
        <v>2.5000000000000001E-2</v>
      </c>
      <c r="F17" s="295">
        <v>2.5000000000000001E-2</v>
      </c>
    </row>
    <row r="18" spans="1:6">
      <c r="A18" s="292" t="s">
        <v>92</v>
      </c>
      <c r="B18" s="293" t="s">
        <v>93</v>
      </c>
      <c r="C18" s="294">
        <v>0.03</v>
      </c>
      <c r="D18" s="294">
        <v>0.03</v>
      </c>
      <c r="E18" s="294">
        <v>0.03</v>
      </c>
      <c r="F18" s="295">
        <v>0.03</v>
      </c>
    </row>
    <row r="19" spans="1:6">
      <c r="A19" s="292" t="s">
        <v>94</v>
      </c>
      <c r="B19" s="293" t="s">
        <v>95</v>
      </c>
      <c r="C19" s="294">
        <v>0.08</v>
      </c>
      <c r="D19" s="294">
        <v>0.08</v>
      </c>
      <c r="E19" s="294">
        <v>0.08</v>
      </c>
      <c r="F19" s="295">
        <v>0.08</v>
      </c>
    </row>
    <row r="20" spans="1:6">
      <c r="A20" s="292" t="s">
        <v>96</v>
      </c>
      <c r="B20" s="293" t="s">
        <v>97</v>
      </c>
      <c r="C20" s="294">
        <v>0.01</v>
      </c>
      <c r="D20" s="294">
        <v>0.01</v>
      </c>
      <c r="E20" s="294">
        <v>0.01</v>
      </c>
      <c r="F20" s="295">
        <v>0.01</v>
      </c>
    </row>
    <row r="21" spans="1:6">
      <c r="A21" s="296" t="s">
        <v>98</v>
      </c>
      <c r="B21" s="297" t="s">
        <v>99</v>
      </c>
      <c r="C21" s="298">
        <f>SUM(C12:C20)</f>
        <v>0.17799999999999999</v>
      </c>
      <c r="D21" s="298">
        <f>SUM(D12:D20)</f>
        <v>0.17799999999999999</v>
      </c>
      <c r="E21" s="298">
        <f>SUM(E12:E20)</f>
        <v>0.37800000000000006</v>
      </c>
      <c r="F21" s="299">
        <f>SUM(F12:F20)</f>
        <v>0.37800000000000006</v>
      </c>
    </row>
    <row r="22" spans="1:6">
      <c r="A22" s="379" t="s">
        <v>100</v>
      </c>
      <c r="B22" s="380"/>
      <c r="C22" s="380"/>
      <c r="D22" s="380"/>
      <c r="E22" s="380"/>
      <c r="F22" s="381"/>
    </row>
    <row r="23" spans="1:6">
      <c r="A23" s="292" t="s">
        <v>101</v>
      </c>
      <c r="B23" s="293" t="s">
        <v>102</v>
      </c>
      <c r="C23" s="294">
        <v>0.1787</v>
      </c>
      <c r="D23" s="294" t="s">
        <v>103</v>
      </c>
      <c r="E23" s="294">
        <v>0.1787</v>
      </c>
      <c r="F23" s="300" t="s">
        <v>103</v>
      </c>
    </row>
    <row r="24" spans="1:6">
      <c r="A24" s="292" t="s">
        <v>104</v>
      </c>
      <c r="B24" s="293" t="s">
        <v>105</v>
      </c>
      <c r="C24" s="294">
        <v>3.95E-2</v>
      </c>
      <c r="D24" s="294" t="s">
        <v>103</v>
      </c>
      <c r="E24" s="294">
        <v>3.95E-2</v>
      </c>
      <c r="F24" s="300" t="s">
        <v>103</v>
      </c>
    </row>
    <row r="25" spans="1:6">
      <c r="A25" s="292" t="s">
        <v>106</v>
      </c>
      <c r="B25" s="293" t="s">
        <v>107</v>
      </c>
      <c r="C25" s="294">
        <v>8.5000000000000006E-3</v>
      </c>
      <c r="D25" s="294">
        <v>6.6E-3</v>
      </c>
      <c r="E25" s="294">
        <v>8.5000000000000006E-3</v>
      </c>
      <c r="F25" s="295">
        <v>6.6E-3</v>
      </c>
    </row>
    <row r="26" spans="1:6">
      <c r="A26" s="292" t="s">
        <v>108</v>
      </c>
      <c r="B26" s="293" t="s">
        <v>109</v>
      </c>
      <c r="C26" s="294">
        <v>0.1084</v>
      </c>
      <c r="D26" s="294">
        <v>8.3299999999999999E-2</v>
      </c>
      <c r="E26" s="294">
        <v>0.1084</v>
      </c>
      <c r="F26" s="295">
        <v>8.3299999999999999E-2</v>
      </c>
    </row>
    <row r="27" spans="1:6">
      <c r="A27" s="292" t="s">
        <v>110</v>
      </c>
      <c r="B27" s="293" t="s">
        <v>111</v>
      </c>
      <c r="C27" s="294">
        <v>6.9999999999999999E-4</v>
      </c>
      <c r="D27" s="294">
        <v>5.9999999999999995E-4</v>
      </c>
      <c r="E27" s="294">
        <v>6.9999999999999999E-4</v>
      </c>
      <c r="F27" s="295">
        <v>5.9999999999999995E-4</v>
      </c>
    </row>
    <row r="28" spans="1:6">
      <c r="A28" s="292" t="s">
        <v>112</v>
      </c>
      <c r="B28" s="293" t="s">
        <v>113</v>
      </c>
      <c r="C28" s="294">
        <v>7.1999999999999998E-3</v>
      </c>
      <c r="D28" s="294">
        <v>5.5999999999999999E-3</v>
      </c>
      <c r="E28" s="294">
        <v>7.1999999999999998E-3</v>
      </c>
      <c r="F28" s="295">
        <v>5.5999999999999999E-3</v>
      </c>
    </row>
    <row r="29" spans="1:6">
      <c r="A29" s="292" t="s">
        <v>114</v>
      </c>
      <c r="B29" s="293" t="s">
        <v>115</v>
      </c>
      <c r="C29" s="294">
        <v>1.4800000000000001E-2</v>
      </c>
      <c r="D29" s="294" t="s">
        <v>103</v>
      </c>
      <c r="E29" s="294">
        <v>1.4800000000000001E-2</v>
      </c>
      <c r="F29" s="300" t="s">
        <v>103</v>
      </c>
    </row>
    <row r="30" spans="1:6">
      <c r="A30" s="292" t="s">
        <v>116</v>
      </c>
      <c r="B30" s="293" t="s">
        <v>117</v>
      </c>
      <c r="C30" s="294">
        <v>1E-3</v>
      </c>
      <c r="D30" s="294">
        <v>8.0000000000000004E-4</v>
      </c>
      <c r="E30" s="294">
        <v>1E-3</v>
      </c>
      <c r="F30" s="295">
        <v>8.0000000000000004E-4</v>
      </c>
    </row>
    <row r="31" spans="1:6">
      <c r="A31" s="292" t="s">
        <v>118</v>
      </c>
      <c r="B31" s="293" t="s">
        <v>119</v>
      </c>
      <c r="C31" s="294">
        <v>9.1300000000000006E-2</v>
      </c>
      <c r="D31" s="294">
        <v>7.0199999999999999E-2</v>
      </c>
      <c r="E31" s="294">
        <v>9.1300000000000006E-2</v>
      </c>
      <c r="F31" s="295">
        <v>7.0199999999999999E-2</v>
      </c>
    </row>
    <row r="32" spans="1:6">
      <c r="A32" s="292" t="s">
        <v>120</v>
      </c>
      <c r="B32" s="293" t="s">
        <v>121</v>
      </c>
      <c r="C32" s="294">
        <v>2.9999999999999997E-4</v>
      </c>
      <c r="D32" s="294">
        <v>2.0000000000000001E-4</v>
      </c>
      <c r="E32" s="294">
        <v>2.9999999999999997E-4</v>
      </c>
      <c r="F32" s="295">
        <v>2.0000000000000001E-4</v>
      </c>
    </row>
    <row r="33" spans="1:6">
      <c r="A33" s="296" t="s">
        <v>122</v>
      </c>
      <c r="B33" s="297" t="s">
        <v>99</v>
      </c>
      <c r="C33" s="298">
        <f>SUM(C23:C32)</f>
        <v>0.45039999999999997</v>
      </c>
      <c r="D33" s="298">
        <f>SUM(D24:D32)</f>
        <v>0.16729999999999998</v>
      </c>
      <c r="E33" s="298">
        <f>SUM(E23:E32)</f>
        <v>0.45039999999999997</v>
      </c>
      <c r="F33" s="299">
        <f>SUM(F23:F32)</f>
        <v>0.16729999999999998</v>
      </c>
    </row>
    <row r="34" spans="1:6">
      <c r="A34" s="379" t="s">
        <v>123</v>
      </c>
      <c r="B34" s="380"/>
      <c r="C34" s="380"/>
      <c r="D34" s="380"/>
      <c r="E34" s="380"/>
      <c r="F34" s="381"/>
    </row>
    <row r="35" spans="1:6">
      <c r="A35" s="292" t="s">
        <v>124</v>
      </c>
      <c r="B35" s="293" t="s">
        <v>125</v>
      </c>
      <c r="C35" s="294">
        <v>4.4900000000000002E-2</v>
      </c>
      <c r="D35" s="294">
        <v>3.4599999999999999E-2</v>
      </c>
      <c r="E35" s="294">
        <v>4.4900000000000002E-2</v>
      </c>
      <c r="F35" s="295">
        <v>3.4599999999999999E-2</v>
      </c>
    </row>
    <row r="36" spans="1:6">
      <c r="A36" s="292" t="s">
        <v>126</v>
      </c>
      <c r="B36" s="293" t="s">
        <v>127</v>
      </c>
      <c r="C36" s="294">
        <v>1.1000000000000001E-3</v>
      </c>
      <c r="D36" s="294">
        <v>8.0000000000000004E-4</v>
      </c>
      <c r="E36" s="294">
        <v>1.1000000000000001E-3</v>
      </c>
      <c r="F36" s="295">
        <v>8.0000000000000004E-4</v>
      </c>
    </row>
    <row r="37" spans="1:6">
      <c r="A37" s="292" t="s">
        <v>128</v>
      </c>
      <c r="B37" s="293" t="s">
        <v>129</v>
      </c>
      <c r="C37" s="294">
        <v>4.5400000000000003E-2</v>
      </c>
      <c r="D37" s="294">
        <v>3.49E-2</v>
      </c>
      <c r="E37" s="294">
        <v>4.5400000000000003E-2</v>
      </c>
      <c r="F37" s="295">
        <v>3.49E-2</v>
      </c>
    </row>
    <row r="38" spans="1:6">
      <c r="A38" s="292" t="s">
        <v>130</v>
      </c>
      <c r="B38" s="293" t="s">
        <v>131</v>
      </c>
      <c r="C38" s="294">
        <v>3.1099999999999999E-2</v>
      </c>
      <c r="D38" s="294">
        <v>2.3900000000000001E-2</v>
      </c>
      <c r="E38" s="294">
        <v>3.1099999999999999E-2</v>
      </c>
      <c r="F38" s="295">
        <v>2.3900000000000001E-2</v>
      </c>
    </row>
    <row r="39" spans="1:6">
      <c r="A39" s="292" t="s">
        <v>132</v>
      </c>
      <c r="B39" s="293" t="s">
        <v>133</v>
      </c>
      <c r="C39" s="294">
        <v>3.8E-3</v>
      </c>
      <c r="D39" s="294">
        <v>2.8999999999999998E-3</v>
      </c>
      <c r="E39" s="294">
        <v>3.8E-3</v>
      </c>
      <c r="F39" s="295">
        <v>2.8999999999999998E-3</v>
      </c>
    </row>
    <row r="40" spans="1:6">
      <c r="A40" s="296" t="s">
        <v>134</v>
      </c>
      <c r="B40" s="297" t="s">
        <v>99</v>
      </c>
      <c r="C40" s="298">
        <f>SUM(C35:C39)</f>
        <v>0.12630000000000002</v>
      </c>
      <c r="D40" s="298">
        <f>SUM(D35:D39)</f>
        <v>9.7100000000000006E-2</v>
      </c>
      <c r="E40" s="298">
        <f>SUM(E35:E39)</f>
        <v>0.12630000000000002</v>
      </c>
      <c r="F40" s="299">
        <f>SUM(F35:F39)</f>
        <v>9.7100000000000006E-2</v>
      </c>
    </row>
    <row r="41" spans="1:6">
      <c r="A41" s="379" t="s">
        <v>135</v>
      </c>
      <c r="B41" s="380"/>
      <c r="C41" s="380"/>
      <c r="D41" s="380"/>
      <c r="E41" s="380"/>
      <c r="F41" s="381"/>
    </row>
    <row r="42" spans="1:6">
      <c r="A42" s="292" t="s">
        <v>136</v>
      </c>
      <c r="B42" s="293" t="s">
        <v>137</v>
      </c>
      <c r="C42" s="294">
        <v>8.0199999999999994E-2</v>
      </c>
      <c r="D42" s="294">
        <v>2.98E-2</v>
      </c>
      <c r="E42" s="294">
        <v>0.17030000000000001</v>
      </c>
      <c r="F42" s="295">
        <v>6.3200000000000006E-2</v>
      </c>
    </row>
    <row r="43" spans="1:6" ht="63.75">
      <c r="A43" s="301" t="s">
        <v>138</v>
      </c>
      <c r="B43" s="302" t="s">
        <v>558</v>
      </c>
      <c r="C43" s="303">
        <v>3.8E-3</v>
      </c>
      <c r="D43" s="303">
        <v>2.8999999999999998E-3</v>
      </c>
      <c r="E43" s="303">
        <v>4.0000000000000001E-3</v>
      </c>
      <c r="F43" s="304">
        <v>3.0999999999999999E-3</v>
      </c>
    </row>
    <row r="44" spans="1:6">
      <c r="A44" s="296" t="s">
        <v>139</v>
      </c>
      <c r="B44" s="297" t="s">
        <v>99</v>
      </c>
      <c r="C44" s="298">
        <f>SUM(C42:C43)</f>
        <v>8.3999999999999991E-2</v>
      </c>
      <c r="D44" s="298">
        <f>SUM(D42:D43)</f>
        <v>3.27E-2</v>
      </c>
      <c r="E44" s="298">
        <f>SUM(E42:E43)</f>
        <v>0.17430000000000001</v>
      </c>
      <c r="F44" s="299">
        <f>SUM(F42:F43)</f>
        <v>6.6300000000000012E-2</v>
      </c>
    </row>
    <row r="45" spans="1:6">
      <c r="A45" s="382" t="s">
        <v>140</v>
      </c>
      <c r="B45" s="383"/>
      <c r="C45" s="305">
        <f>C44+C40+C33+C21</f>
        <v>0.8387</v>
      </c>
      <c r="D45" s="305">
        <f>D44+D40+D33+D21</f>
        <v>0.47509999999999997</v>
      </c>
      <c r="E45" s="305">
        <f>E44+E40+E33+E21</f>
        <v>1.129</v>
      </c>
      <c r="F45" s="306">
        <f>F44+F40+F33+F21</f>
        <v>0.70870000000000011</v>
      </c>
    </row>
  </sheetData>
  <mergeCells count="12">
    <mergeCell ref="A22:F22"/>
    <mergeCell ref="A34:F34"/>
    <mergeCell ref="A41:F41"/>
    <mergeCell ref="A45:B45"/>
    <mergeCell ref="A11:F11"/>
    <mergeCell ref="A1:F1"/>
    <mergeCell ref="A2:F2"/>
    <mergeCell ref="A8:F8"/>
    <mergeCell ref="A9:A10"/>
    <mergeCell ref="B9:B10"/>
    <mergeCell ref="C9:D9"/>
    <mergeCell ref="E9:F9"/>
  </mergeCells>
  <pageMargins left="0.51181102362204722" right="0.51181102362204722" top="1.1023622047244095" bottom="0.78740157480314965" header="0.31496062992125984" footer="0.31496062992125984"/>
  <pageSetup paperSize="9" scale="87" fitToHeight="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I - RESUMO</vt:lpstr>
      <vt:lpstr>II - ORÇAMENTO</vt:lpstr>
      <vt:lpstr>III - CRONOGRAMA</vt:lpstr>
      <vt:lpstr>IV - COMPOSIÇÃO BDI</vt:lpstr>
      <vt:lpstr>V - ENCARGOS</vt:lpstr>
      <vt:lpstr>'II - ORÇAMENTO'!Area_de_impressao</vt:lpstr>
      <vt:lpstr>'III - CRONOGRAMA'!Area_de_impressao</vt:lpstr>
      <vt:lpstr>'IV - COMPOSIÇÃO BDI'!Area_de_impressao</vt:lpstr>
      <vt:lpstr>'V - ENCARGOS'!Area_de_impressao</vt:lpstr>
      <vt:lpstr>'II - ORÇAMENTO'!Titulos_de_impressao</vt:lpstr>
      <vt:lpstr>'III - CRONOGRAMA'!Titulos_de_impressao</vt:lpstr>
    </vt:vector>
  </TitlesOfParts>
  <Company>PNUD/BRA/00/027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willamy.dias</dc:creator>
  <cp:lastModifiedBy>nogueiralima</cp:lastModifiedBy>
  <cp:lastPrinted>2022-05-02T20:14:05Z</cp:lastPrinted>
  <dcterms:created xsi:type="dcterms:W3CDTF">2005-05-06T14:48:20Z</dcterms:created>
  <dcterms:modified xsi:type="dcterms:W3CDTF">2022-05-03T13:11:13Z</dcterms:modified>
</cp:coreProperties>
</file>